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Transactions" sheetId="2" r:id="rId2"/>
    <sheet name="Crib KPIs" sheetId="3" r:id="rId3"/>
    <sheet name="Item master" sheetId="4" r:id="rId4"/>
    <sheet name="Units" sheetId="5" r:id="rId5"/>
  </sheets>
  <definedNames>
    <definedName name="_xlnm.Print_Titles" localSheetId="1">'Transactions'!$1:$1</definedName>
    <definedName name="_xlnm.Print_Titles" localSheetId="3">'Item master'!$1:$1</definedName>
    <definedName name="_xlnm.Print_Titles" localSheetId="4">'Units'!$1:$1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\-mm\-dd\ hh:mm:ss"/>
    <numFmt numFmtId="165" formatCode="0.000000"/>
    <numFmt numFmtId="166" formatCode="0.0"/>
    <numFmt numFmtId="167" formatCode="yyyy\-mm\-dd"/>
    <numFmt numFmtId="168" formatCode="yyyy\-mm\-dd\ hh:mm"/>
  </numFmts>
  <fonts count="20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</font>
    <font>
      <b/>
      <sz val="18"/>
      <color rgb="FF111827"/>
      <name val="Calibri"/>
      <family val="2"/>
    </font>
    <font>
      <sz val="9"/>
      <color rgb="FF64748B"/>
      <name val="Calibri"/>
      <family val="2"/>
    </font>
    <font>
      <b/>
      <sz val="11"/>
      <color rgb="FF047857"/>
      <name val="Calibri"/>
      <family val="2"/>
    </font>
    <font>
      <b/>
      <sz val="11"/>
      <color rgb="FF475569"/>
      <name val="Calibri"/>
      <family val="2"/>
    </font>
    <font>
      <b/>
      <sz val="11"/>
      <color rgb="FFB45309"/>
      <name val="Calibri"/>
      <family val="2"/>
    </font>
    <font>
      <b/>
      <sz val="11"/>
      <color rgb="FFB91C1C"/>
      <name val="Calibri"/>
      <family val="2"/>
    </font>
    <font>
      <b/>
      <sz val="11"/>
      <color rgb="FF475569"/>
      <name val="Calibri"/>
      <family val="2"/>
    </font>
    <font>
      <b/>
      <sz val="11"/>
      <color rgb="FF111827"/>
      <name val="Calibri"/>
      <family val="2"/>
    </font>
    <font>
      <sz val="12"/>
      <color rgb="FF475569"/>
      <name val="Calibri"/>
      <family val="2"/>
    </font>
    <font>
      <b/>
      <sz val="12"/>
      <color rgb="FFFFFFFF"/>
      <name val="Calibri"/>
      <family val="2"/>
    </font>
    <font>
      <sz val="10"/>
      <color rgb="FF334155"/>
      <name val="Calibri"/>
      <family val="2"/>
    </font>
    <font>
      <b/>
      <sz val="10"/>
      <color rgb="FF111827"/>
      <name val="Calibri"/>
      <family val="2"/>
    </font>
    <font>
      <sz val="11"/>
      <color rgb="FF64748B"/>
      <name val="Calibri"/>
      <family val="2"/>
    </font>
    <font>
      <b/>
      <sz val="22"/>
      <color rgb="FF111827"/>
      <name val="Calibri"/>
      <family val="2"/>
    </font>
    <font>
      <sz val="10"/>
      <color rgb="FF475569"/>
      <name val="Calibri"/>
      <family val="2"/>
    </font>
    <font>
      <sz val="11"/>
      <color rgb="FF33415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111827"/>
        <bgColor indexed="64"/>
      </patternFill>
    </fill>
    <fill>
      <patternFill patternType="solid">
        <fgColor rgb="FFECFDF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47556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3" fillId="3" borderId="0" xfId="0" applyFont="1" applyFill="1" applyAlignment="1">
      <alignment horizontal="left" vertical="center" indent="1"/>
    </xf>
    <xf numFmtId="0" fontId="11" fillId="2" borderId="2" xfId="0" applyFont="1" applyFill="1" applyBorder="1" applyAlignment="1">
      <alignment horizontal="left" vertical="top" wrapText="1" indent="1"/>
    </xf>
    <xf numFmtId="0" fontId="12" fillId="0" borderId="0" xfId="0" applyFont="1"/>
    <xf numFmtId="0" fontId="5" fillId="0" borderId="0" xfId="0" applyFont="1" applyAlignment="1">
      <alignment vertical="top" wrapText="1"/>
    </xf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left" vertical="top" wrapText="1" indent="1"/>
    </xf>
    <xf numFmtId="0" fontId="15" fillId="2" borderId="1" xfId="0" applyFont="1" applyFill="1" applyBorder="1" applyAlignment="1">
      <alignment horizontal="left" vertical="top" wrapText="1" indent="1"/>
    </xf>
    <xf numFmtId="0" fontId="15" fillId="0" borderId="2" xfId="0" applyFont="1" applyBorder="1" applyAlignment="1">
      <alignment horizontal="left" vertical="top" wrapText="1" indent="1"/>
    </xf>
    <xf numFmtId="0" fontId="14" fillId="0" borderId="2" xfId="0" applyFont="1" applyBorder="1" applyAlignment="1">
      <alignment horizontal="left" vertical="top" wrapText="1" indent="1"/>
    </xf>
    <xf numFmtId="49" fontId="0" fillId="0" borderId="0" xfId="0" applyNumberFormat="1"/>
    <xf numFmtId="0" fontId="3" fillId="3" borderId="1" xfId="0" applyFont="1" applyFill="1" applyBorder="1" applyAlignment="1">
      <alignment horizontal="right" vertical="center" wrapText="1" indent="2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  <xf numFmtId="167" fontId="0" fillId="0" borderId="3" xfId="0" applyNumberFormat="1" applyBorder="1" applyAlignment="1">
      <alignment vertical="center"/>
    </xf>
    <xf numFmtId="168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9" fillId="8" borderId="3" xfId="0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/>
    </xf>
    <xf numFmtId="1" fontId="19" fillId="8" borderId="3" xfId="0" applyNumberFormat="1" applyFont="1" applyFill="1" applyBorder="1" applyAlignment="1">
      <alignment vertical="center"/>
    </xf>
    <xf numFmtId="167" fontId="19" fillId="8" borderId="3" xfId="0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right" vertical="center" wrapText="1" indent="2"/>
    </xf>
    <xf numFmtId="0" fontId="17" fillId="8" borderId="4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top" wrapText="1"/>
    </xf>
    <xf numFmtId="9" fontId="17" fillId="8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bottom"/>
    </xf>
  </cellXfs>
  <cellStyles count="1">
    <cellStyle name="Normal" xfId="0" builtinId="0"/>
  </cellStyles>
  <dxfs count="7">
    <dxf>
      <font>
        <b/>
        <color rgb="FFB91C1C"/>
      </font>
      <fill>
        <patternFill patternType="solid">
          <bgColor rgb="FFFEF2F2"/>
        </patternFill>
      </fill>
    </dxf>
    <dxf>
      <font>
        <b/>
        <color rgb="FFB45309"/>
      </font>
      <fill>
        <patternFill patternType="solid">
          <bgColor rgb="FFFFF7ED"/>
        </patternFill>
      </fill>
    </dxf>
    <dxf>
      <font>
        <b/>
        <color rgb="FF047857"/>
      </font>
      <fill>
        <patternFill patternType="solid">
          <bgColor rgb="FFECFDF5"/>
        </patternFill>
      </fill>
    </dxf>
    <dxf>
      <font>
        <b/>
        <color rgb="FF475569"/>
      </font>
      <fill>
        <patternFill patternType="solid">
          <bgColor rgb="FFF1F5F9"/>
        </patternFill>
      </fill>
    </dxf>
    <dxf>
      <fill>
        <patternFill patternType="solid">
          <bgColor rgb="FFFEF2F2"/>
        </patternFill>
      </fill>
    </dxf>
    <dxf>
      <font>
        <b/>
        <color rgb="FFB91C1C"/>
      </font>
    </dxf>
    <dxf>
      <font>
        <color rgb="FFB45309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0</xdr:row>
      <xdr:rowOff>66675</xdr:rowOff>
    </xdr:from>
    <xdr:ext cx="304800" cy="304800"/>
    <xdr:pic>
      <xdr:nvPicPr>
        <xdr:cNvPr id="1" name="TagLogger" descr="TagLogg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aglogger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workbookViewId="0"/>
  </sheetViews>
  <sheetFormatPr defaultRowHeight="15"/>
  <cols>
    <col min="1" max="1" width="7" customWidth="1"/>
    <col min="2" max="2" width="24" customWidth="1"/>
    <col min="3" max="3" width="50" customWidth="1"/>
    <col min="4" max="4" width="38" customWidth="1"/>
  </cols>
  <sheetData>
    <row r="1" ht="34" customHeight="1">
      <c r="B1" s="9" t="inlineStr">
        <is>
          <t xml:space="preserve">TagLogger</t>
        </is>
      </c>
    </row>
    <row r="2">
      <c r="B2" s="13" t="inlineStr">
        <is>
          <t xml:space="preserve">Tool crib checkout log</t>
        </is>
      </c>
    </row>
    <row r="3">
      <c r="B3" s="6" t="inlineStr">
        <is>
          <t xml:space="preserve">taglogger.com</t>
        </is>
      </c>
    </row>
    <row r="4"/>
    <row r="5" ht="24" customHeight="1">
      <c r="B5" s="11" t="inlineStr">
        <is>
          <t xml:space="preserve">How this workbook works</t>
        </is>
      </c>
      <c r="C5" s="11"/>
      <c r="D5" s="11"/>
    </row>
    <row r="6" ht="30" customHeight="1">
      <c r="B6" s="12" t="inlineStr">
        <is>
          <t xml:space="preserve">Transactions</t>
        </is>
      </c>
      <c r="C6" s="20" t="inlineStr">
        <is>
          <t xml:space="preserve">One row each time a tool or consumable crosses the counter. Never edit a row once it is written: a return, a send-out and a write-off are each a new row.</t>
        </is>
      </c>
      <c r="D6" s="20"/>
    </row>
    <row r="7" ht="30" customHeight="1">
      <c r="B7" s="12" t="inlineStr">
        <is>
          <t xml:space="preserve">Crib KPIs</t>
        </is>
      </c>
      <c r="C7" s="20" t="inlineStr">
        <is>
          <t xml:space="preserve">Open and overdue loans, quarantine returns, fill rate and calibration, with the overdue list for the shift change.</t>
        </is>
      </c>
      <c r="D7" s="20"/>
    </row>
    <row r="8" ht="30" customHeight="1">
      <c r="B8" s="12" t="inlineStr">
        <is>
          <t xml:space="preserve">Item master</t>
        </is>
      </c>
      <c r="C8" s="20" t="inlineStr">
        <is>
          <t xml:space="preserve">One row per tool type, with its class and default loan. Shows what was issued, loaned and asked for in the last 30 days.</t>
        </is>
      </c>
      <c r="D8" s="20"/>
    </row>
    <row r="9" ht="30" customHeight="1">
      <c r="B9" s="12" t="inlineStr">
        <is>
          <t xml:space="preserve">Units</t>
        </is>
      </c>
      <c r="C9" s="20" t="inlineStr">
        <is>
          <t xml:space="preserve">One row per physical durable or gauge, with its calibration due date and whether it is in or out.</t>
        </is>
      </c>
      <c r="D9" s="20"/>
    </row>
    <row r="10" ht="30" customHeight="1">
      <c r="B10" s="12" t="inlineStr">
        <is>
          <t xml:space="preserve">Example rows</t>
        </is>
      </c>
      <c r="C10" s="20" t="inlineStr">
        <is>
          <t xml:space="preserve">Six example transactions and their items and units are dated September 2026. Select their white cells and press Delete before real use. The grey cells clear themselves.</t>
        </is>
      </c>
      <c r="D10" s="20"/>
    </row>
    <row r="11">
      <c r="B11" s="12" t="inlineStr">
        <is>
          <t xml:space="preserve">Your data</t>
        </is>
      </c>
      <c r="C11" s="20" t="inlineStr">
        <is>
          <t xml:space="preserve">The file works offline and stays yours. Nothing in it connects to TagLogger.</t>
        </is>
      </c>
      <c r="D11" s="20"/>
    </row>
    <row r="12" ht="30" customHeight="1">
      <c r="B12" s="12" t="inlineStr">
        <is>
          <t xml:space="preserve">When to move on</t>
        </is>
      </c>
      <c r="C12" s="20" t="inlineStr">
        <is>
          <t xml:space="preserve">A shared workbook holds up while one window writes every row. Once machines, lockers or several shifts write at the same time, the crib needs software.</t>
        </is>
      </c>
      <c r="D12" s="20"/>
    </row>
    <row r="13" ht="9" customHeight="1"/>
    <row r="14" ht="24" customHeight="1">
      <c r="B14" s="11" t="inlineStr">
        <is>
          <t xml:space="preserve">Colour key</t>
        </is>
      </c>
      <c r="C14" s="11"/>
      <c r="D14" s="11"/>
    </row>
    <row r="15">
      <c r="B15" s="12" t="inlineStr">
        <is>
          <t xml:space="preserve">Dark column header</t>
        </is>
      </c>
      <c r="C15" s="20" t="inlineStr">
        <is>
          <t xml:space="preserve">You fill this column in. White cells, ruled like a paper log.</t>
        </is>
      </c>
      <c r="D15" s="20"/>
    </row>
    <row r="16">
      <c r="B16" s="12" t="inlineStr">
        <is>
          <t xml:space="preserve">Slate header, grey cells</t>
        </is>
      </c>
      <c r="C16" s="20" t="inlineStr">
        <is>
          <t xml:space="preserve">The workbook works this out. Typing over a grey cell removes its formula.</t>
        </is>
      </c>
      <c r="D16" s="20"/>
    </row>
    <row r="17">
      <c r="B17" s="12" t="inlineStr">
        <is>
          <t xml:space="preserve">Red row</t>
        </is>
      </c>
      <c r="C17" s="20" t="inlineStr">
        <is>
          <t xml:space="preserve">Overdue: a loan or send-out past its due time with no return pointing at it.</t>
        </is>
      </c>
      <c r="D17" s="20"/>
    </row>
    <row r="18" ht="9" customHeight="1"/>
    <row r="19" ht="24" customHeight="1">
      <c r="B19" s="11" t="inlineStr">
        <is>
          <t xml:space="preserve">Row types</t>
        </is>
      </c>
      <c r="C19" s="11"/>
      <c r="D19" s="11"/>
    </row>
    <row r="20" ht="30" customHeight="1">
      <c r="B20" s="12" t="inlineStr">
        <is>
          <t xml:space="preserve">loan</t>
        </is>
      </c>
      <c r="C20" s="20" t="inlineStr">
        <is>
          <t xml:space="preserve">A durable or gauge that must come back. Set Due, and for a gauge keep it within the calibration date.</t>
        </is>
      </c>
      <c r="D20" s="20"/>
    </row>
    <row r="21" ht="30" customHeight="1">
      <c r="B21" s="12" t="inlineStr">
        <is>
          <t xml:space="preserve">return</t>
        </is>
      </c>
      <c r="C21" s="20" t="inlineStr">
        <is>
          <t xml:space="preserve">Closes a loan or send-out: put that row's Txn ID in Closes txn. The badge can differ from the loan's.</t>
        </is>
      </c>
      <c r="D21" s="20"/>
    </row>
    <row r="22" ht="30" customHeight="1">
      <c r="B22" s="12" t="inlineStr">
        <is>
          <t xml:space="preserve">issue</t>
        </is>
      </c>
      <c r="C22" s="20" t="inlineStr">
        <is>
          <t xml:space="preserve">A consumable by quantity against a charge code. It never comes back, so it is never overdue.</t>
        </is>
      </c>
      <c r="D22" s="20"/>
    </row>
    <row r="23" ht="30" customHeight="1">
      <c r="B23" s="12" t="inlineStr">
        <is>
          <t xml:space="preserve">send_out</t>
        </is>
      </c>
      <c r="C23" s="20" t="inlineStr">
        <is>
          <t xml:space="preserve">A tool sent away, such as a gauge to the calibration lab. A late lab lands on the overdue list like a late borrower.</t>
        </is>
      </c>
      <c r="D23" s="20"/>
    </row>
    <row r="24">
      <c r="B24" s="12" t="inlineStr">
        <is>
          <t xml:space="preserve">transfer</t>
        </is>
      </c>
      <c r="C24" s="20" t="inlineStr">
        <is>
          <t xml:space="preserve">A move between cribs or bins.</t>
        </is>
      </c>
      <c r="D24" s="20"/>
    </row>
    <row r="25">
      <c r="B25" s="12" t="inlineStr">
        <is>
          <t xml:space="preserve">write_off</t>
        </is>
      </c>
      <c r="C25" s="20" t="inlineStr">
        <is>
          <t xml:space="preserve">A tool marked lost or scrapped. Say why in Notes.</t>
        </is>
      </c>
      <c r="D25" s="20"/>
    </row>
    <row r="26" ht="30" customHeight="1">
      <c r="B26" s="12" t="inlineStr">
        <is>
          <t xml:space="preserve">unfilled</t>
        </is>
      </c>
      <c r="C26" s="20" t="inlineStr">
        <is>
          <t xml:space="preserve">A request the crib could not meet. Without this row it leaves no trace, and the fill rate looks better than it is.</t>
        </is>
      </c>
      <c r="D26" s="20"/>
    </row>
    <row r="27" ht="9" customHeight="1"/>
    <row r="28" ht="24" customHeight="1">
      <c r="B28" s="11" t="inlineStr">
        <is>
          <t xml:space="preserve">Status</t>
        </is>
      </c>
      <c r="C28" s="11"/>
      <c r="D28" s="11"/>
    </row>
    <row r="29">
      <c r="B29" s="12" t="inlineStr">
        <is>
          <t xml:space="preserve">Open</t>
        </is>
      </c>
      <c r="C29" s="20" t="inlineStr">
        <is>
          <t xml:space="preserve">A loan or send-out not back yet and not due.</t>
        </is>
      </c>
      <c r="D29" s="20"/>
    </row>
    <row r="30">
      <c r="B30" s="12" t="inlineStr">
        <is>
          <t xml:space="preserve">Overdue</t>
        </is>
      </c>
      <c r="C30" s="20" t="inlineStr">
        <is>
          <t xml:space="preserve">Past its due time with no return pointing at it.</t>
        </is>
      </c>
      <c r="D30" s="20"/>
    </row>
    <row r="31">
      <c r="B31" s="12" t="inlineStr">
        <is>
          <t xml:space="preserve">Closed</t>
        </is>
      </c>
      <c r="C31" s="20" t="inlineStr">
        <is>
          <t xml:space="preserve">A loan or send-out a return points at.</t>
        </is>
      </c>
      <c r="D31" s="20"/>
    </row>
    <row r="32">
      <c r="B32" s="12" t="inlineStr">
        <is>
          <t xml:space="preserve">Returned</t>
        </is>
      </c>
      <c r="C32" s="20" t="inlineStr">
        <is>
          <t xml:space="preserve">A return in good condition that closes a loan.</t>
        </is>
      </c>
      <c r="D32" s="20"/>
    </row>
    <row r="33" ht="30" customHeight="1">
      <c r="B33" s="12" t="inlineStr">
        <is>
          <t xml:space="preserve">Quarantine</t>
        </is>
      </c>
      <c r="C33" s="20" t="inlineStr">
        <is>
          <t xml:space="preserve">A return marked worn or damaged. The tool goes to the quarantine bin until someone looks at it.</t>
        </is>
      </c>
      <c r="D33" s="20"/>
    </row>
    <row r="34" ht="30" customHeight="1">
      <c r="B34" s="12" t="inlineStr">
        <is>
          <t xml:space="preserve">No match</t>
        </is>
      </c>
      <c r="C34" s="20" t="inlineStr">
        <is>
          <t xml:space="preserve">A return whose Closes txn is blank or not in the log. It means a loan was never written.</t>
        </is>
      </c>
      <c r="D34" s="20"/>
    </row>
    <row r="35">
      <c r="B35" s="12" t="inlineStr">
        <is>
          <t xml:space="preserve">Issued, Moved, Written off, Unfilled</t>
        </is>
      </c>
      <c r="C35" s="20" t="inlineStr">
        <is>
          <t xml:space="preserve">The other row types, which never go overdue.</t>
        </is>
      </c>
      <c r="D35" s="20"/>
    </row>
    <row r="36">
      <c r="B36" s="12" t="inlineStr">
        <is>
          <t xml:space="preserve">Needs ID</t>
        </is>
      </c>
      <c r="C36" s="20" t="inlineStr">
        <is>
          <t xml:space="preserve">The row has a type but no Txn ID.</t>
        </is>
      </c>
      <c r="D36" s="20"/>
    </row>
    <row r="37" ht="9" customHeight="1"/>
    <row r="38" ht="24" customHeight="1">
      <c r="B38" s="11" t="inlineStr">
        <is>
          <t xml:space="preserve">At the window, on a return</t>
        </is>
      </c>
      <c r="C38" s="11"/>
      <c r="D38" s="11"/>
    </row>
    <row r="39" ht="30" customHeight="1">
      <c r="B39" s="12" t="inlineStr">
        <is>
          <t xml:space="preserve">1</t>
        </is>
      </c>
      <c r="C39" s="20" t="inlineStr">
        <is>
          <t xml:space="preserve">Scan or type the tool first, then the badge. The open loan is found from the asset ID, so a tool brought back by someone else still closes the right loan.</t>
        </is>
      </c>
      <c r="D39" s="20"/>
    </row>
    <row r="40">
      <c r="B40" s="12" t="inlineStr">
        <is>
          <t xml:space="preserve">2</t>
        </is>
      </c>
      <c r="C40" s="20" t="inlineStr">
        <is>
          <t xml:space="preserve">Record the condition. Anything below good goes to the marked quarantine bin.</t>
        </is>
      </c>
      <c r="D40" s="20"/>
    </row>
    <row r="41" ht="30" customHeight="1">
      <c r="B41" s="12" t="inlineStr">
        <is>
          <t xml:space="preserve">3</t>
        </is>
      </c>
      <c r="C41" s="20" t="inlineStr">
        <is>
          <t xml:space="preserve">Check the calibration date on the Units sheet. A gauge due soon goes to the calibration shelf, not back to the bin.</t>
        </is>
      </c>
      <c r="D41" s="20"/>
    </row>
    <row r="42" ht="9" customHeight="1"/>
    <row r="43" ht="24" customHeight="1">
      <c r="B43" s="11" t="inlineStr">
        <is>
          <t xml:space="preserve">Transactions columns</t>
        </is>
      </c>
      <c r="C43" s="11"/>
      <c r="D43" s="11"/>
    </row>
    <row r="44">
      <c r="B44" s="21" t="inlineStr">
        <is>
          <t xml:space="preserve">Column</t>
        </is>
      </c>
      <c r="C44" s="21" t="inlineStr">
        <is>
          <t xml:space="preserve">What goes in it</t>
        </is>
      </c>
      <c r="D44" s="21" t="inlineStr">
        <is>
          <t xml:space="preserve">Values</t>
        </is>
      </c>
    </row>
    <row r="45" ht="30" customHeight="1">
      <c r="B45" s="22" t="inlineStr">
        <is>
          <t xml:space="preserve">Status</t>
        </is>
      </c>
      <c r="C45" s="23" t="inlineStr">
        <is>
          <t xml:space="preserve">Worked out from the row type, the due time and the returns.</t>
        </is>
      </c>
      <c r="D45" s="23" t="inlineStr">
        <is>
          <t xml:space="preserve">See Status above</t>
        </is>
      </c>
    </row>
    <row r="46" ht="16.5" customHeight="1">
      <c r="B46" s="22" t="inlineStr">
        <is>
          <t xml:space="preserve">Txn ID</t>
        </is>
      </c>
      <c r="C46" s="23" t="inlineStr">
        <is>
          <t xml:space="preserve">Unique ID for the row, numbered in order.</t>
        </is>
      </c>
      <c r="D46" s="23" t="inlineStr">
        <is>
          <t xml:space="preserve">T-000101</t>
        </is>
      </c>
    </row>
    <row r="47" ht="30" customHeight="1">
      <c r="B47" s="22" t="inlineStr">
        <is>
          <t xml:space="preserve">Type</t>
        </is>
      </c>
      <c r="C47" s="23" t="inlineStr">
        <is>
          <t xml:space="preserve">What crossed the counter.</t>
        </is>
      </c>
      <c r="D47" s="23" t="inlineStr">
        <is>
          <t xml:space="preserve">loan, return, issue, send_out, transfer, write_off, unfilled</t>
        </is>
      </c>
    </row>
    <row r="48" ht="16.5" customHeight="1">
      <c r="B48" s="22" t="inlineStr">
        <is>
          <t xml:space="preserve">Time</t>
        </is>
      </c>
      <c r="C48" s="23" t="inlineStr">
        <is>
          <t xml:space="preserve">When the row was written, 24-hour clock.</t>
        </is>
      </c>
      <c r="D48" s="23" t="inlineStr">
        <is>
          <t xml:space="preserve">2026-09-14 06:52</t>
        </is>
      </c>
    </row>
    <row r="49" ht="30" customHeight="1">
      <c r="B49" s="22" t="inlineStr">
        <is>
          <t xml:space="preserve">Asset ID</t>
        </is>
      </c>
      <c r="C49" s="23" t="inlineStr">
        <is>
          <t xml:space="preserve">The unit's permanent ID for durables and gauges. Blank on issue and unfilled rows.</t>
        </is>
      </c>
      <c r="D49" s="23" t="inlineStr">
        <is>
          <t xml:space="preserve">From Units, e.g. TW-0412</t>
        </is>
      </c>
    </row>
    <row r="50" ht="16.5" customHeight="1">
      <c r="B50" s="22" t="inlineStr">
        <is>
          <t xml:space="preserve">Item no</t>
        </is>
      </c>
      <c r="C50" s="23" t="inlineStr">
        <is>
          <t xml:space="preserve">The Item master code, on every row.</t>
        </is>
      </c>
      <c r="D50" s="23" t="inlineStr">
        <is>
          <t xml:space="preserve">From Item master, e.g. TW-50NM</t>
        </is>
      </c>
    </row>
    <row r="51" ht="16.5" customHeight="1">
      <c r="B51" s="22" t="inlineStr">
        <is>
          <t xml:space="preserve">Description</t>
        </is>
      </c>
      <c r="C51" s="23" t="inlineStr">
        <is>
          <t xml:space="preserve">From the Item master.</t>
        </is>
      </c>
      <c r="D51" s="23" t="inlineStr">
        <is>
          <t xml:space="preserve">Worked out</t>
        </is>
      </c>
    </row>
    <row r="52" ht="16.5" customHeight="1">
      <c r="B52" s="22" t="inlineStr">
        <is>
          <t xml:space="preserve">Qty</t>
        </is>
      </c>
      <c r="C52" s="23" t="inlineStr">
        <is>
          <t xml:space="preserve">1 for a unit. The count issued for a consumable.</t>
        </is>
      </c>
      <c r="D52" s="23" t="inlineStr">
        <is>
          <t xml:space="preserve">Whole number</t>
        </is>
      </c>
    </row>
    <row r="53" ht="30" customHeight="1">
      <c r="B53" s="22" t="inlineStr">
        <is>
          <t xml:space="preserve">Badge</t>
        </is>
      </c>
      <c r="C53" s="23" t="inlineStr">
        <is>
          <t xml:space="preserve">The badge on this row. On a return it can differ from the loan's badge.</t>
        </is>
      </c>
      <c r="D53" s="23" t="inlineStr">
        <is>
          <t xml:space="preserve">B-1042</t>
        </is>
      </c>
    </row>
    <row r="54" ht="30" customHeight="1">
      <c r="B54" s="22" t="inlineStr">
        <is>
          <t xml:space="preserve">Charge code</t>
        </is>
      </c>
      <c r="C54" s="23" t="inlineStr">
        <is>
          <t xml:space="preserve">Work order, job or cost center. Required on loan and issue rows.</t>
        </is>
      </c>
      <c r="D54" s="23" t="inlineStr">
        <is>
          <t xml:space="preserve">WO-58831</t>
        </is>
      </c>
    </row>
    <row r="55" ht="30" customHeight="1">
      <c r="B55" s="22" t="inlineStr">
        <is>
          <t xml:space="preserve">Due</t>
        </is>
      </c>
      <c r="C55" s="23" t="inlineStr">
        <is>
          <t xml:space="preserve">When a loan or send_out is due back. Capped at the calibration date for gauges.</t>
        </is>
      </c>
      <c r="D55" s="23" t="inlineStr">
        <is>
          <t xml:space="preserve">2026-09-14 15:00</t>
        </is>
      </c>
    </row>
    <row r="56" ht="30" customHeight="1">
      <c r="B56" s="22" t="inlineStr">
        <is>
          <t xml:space="preserve">Closes txn</t>
        </is>
      </c>
      <c r="C56" s="23" t="inlineStr">
        <is>
          <t xml:space="preserve">On a return, the Txn ID of the loan or send_out it closes.</t>
        </is>
      </c>
      <c r="D56" s="23" t="inlineStr">
        <is>
          <t xml:space="preserve">T-000101</t>
        </is>
      </c>
    </row>
    <row r="57" ht="16.5" customHeight="1">
      <c r="B57" s="22" t="inlineStr">
        <is>
          <t xml:space="preserve">Condition</t>
        </is>
      </c>
      <c r="C57" s="23" t="inlineStr">
        <is>
          <t xml:space="preserve">Set on loans and returns.</t>
        </is>
      </c>
      <c r="D57" s="23" t="inlineStr">
        <is>
          <t xml:space="preserve">good, worn, damaged</t>
        </is>
      </c>
    </row>
    <row r="58" ht="30" customHeight="1">
      <c r="B58" s="22" t="inlineStr">
        <is>
          <t xml:space="preserve">Destination</t>
        </is>
      </c>
      <c r="C58" s="23" t="inlineStr">
        <is>
          <t xml:space="preserve">Where the borrower said the tool was going. The only location the crib record gets.</t>
        </is>
      </c>
      <c r="D58" s="23" t="inlineStr">
        <is>
          <t xml:space="preserve">Line 4, Calibration lab</t>
        </is>
      </c>
    </row>
    <row r="59" ht="30" customHeight="1">
      <c r="B59" s="22" t="inlineStr">
        <is>
          <t xml:space="preserve">Terminal</t>
        </is>
      </c>
      <c r="C59" s="23" t="inlineStr">
        <is>
          <t xml:space="preserve">Which window, vending machine or locker bank recorded the row.</t>
        </is>
      </c>
      <c r="D59" s="23" t="inlineStr">
        <is>
          <t xml:space="preserve">Window A</t>
        </is>
      </c>
    </row>
    <row r="60" ht="16.5" customHeight="1">
      <c r="B60" s="22" t="inlineStr">
        <is>
          <t xml:space="preserve">Notes</t>
        </is>
      </c>
      <c r="C60" s="23" t="inlineStr">
        <is>
          <t xml:space="preserve">Free text. No personal details beyond the badge ID.</t>
        </is>
      </c>
      <c r="D60" s="23" t="inlineStr">
        <is>
          <t xml:space="preserve">Free text</t>
        </is>
      </c>
    </row>
    <row r="61" ht="30" customHeight="1">
      <c r="B61" s="22" t="inlineStr">
        <is>
          <t xml:space="preserve">Cal check</t>
        </is>
      </c>
      <c r="C61" s="23" t="inlineStr">
        <is>
          <t xml:space="preserve">On a loan of a unit with a calibration date: whether the due time stays within it.</t>
        </is>
      </c>
      <c r="D61" s="23" t="inlineStr">
        <is>
          <t xml:space="preserve">OK, Past cal date, No due date</t>
        </is>
      </c>
    </row>
    <row r="62" ht="9" customHeight="1"/>
    <row r="63">
      <c r="B63" s="10" t="inlineStr">
        <is>
          <t xml:space="preserve">Free template from taglogger.com/resources/tool-crib-checkout-system. Copy it, change it and share it.</t>
        </is>
      </c>
    </row>
  </sheetData>
  <mergeCells count="34">
    <mergeCell ref="B5:D5"/>
    <mergeCell ref="C6:D6"/>
    <mergeCell ref="C7:D7"/>
    <mergeCell ref="C8:D8"/>
    <mergeCell ref="C9:D9"/>
    <mergeCell ref="C10:D10"/>
    <mergeCell ref="C11:D11"/>
    <mergeCell ref="C12:D12"/>
    <mergeCell ref="B14:D14"/>
    <mergeCell ref="C15:D15"/>
    <mergeCell ref="C16:D16"/>
    <mergeCell ref="C17:D17"/>
    <mergeCell ref="B19:D19"/>
    <mergeCell ref="C20:D20"/>
    <mergeCell ref="C21:D21"/>
    <mergeCell ref="C22:D22"/>
    <mergeCell ref="C23:D23"/>
    <mergeCell ref="C24:D24"/>
    <mergeCell ref="C25:D25"/>
    <mergeCell ref="C26:D26"/>
    <mergeCell ref="B28:D28"/>
    <mergeCell ref="C29:D29"/>
    <mergeCell ref="C30:D30"/>
    <mergeCell ref="C31:D31"/>
    <mergeCell ref="C32:D32"/>
    <mergeCell ref="C33:D33"/>
    <mergeCell ref="C34:D34"/>
    <mergeCell ref="C35:D35"/>
    <mergeCell ref="C36:D36"/>
    <mergeCell ref="B38:D38"/>
    <mergeCell ref="C39:D39"/>
    <mergeCell ref="C40:D40"/>
    <mergeCell ref="C41:D41"/>
    <mergeCell ref="B43:D43"/>
  </mergeCells>
  <hyperlinks>
    <hyperlink ref="B3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11827"/>
    <pageSetUpPr fitToPage="1"/>
  </sheetPr>
  <dimension ref="A1:R100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RowHeight="15"/>
  <cols>
    <col min="1" max="1" width="12" customWidth="1"/>
    <col min="2" max="2" width="11" customWidth="1"/>
    <col min="3" max="3" width="10" customWidth="1"/>
    <col min="4" max="4" width="17" customWidth="1"/>
    <col min="5" max="5" width="11" customWidth="1"/>
    <col min="6" max="6" width="11" customWidth="1"/>
    <col min="7" max="7" width="28" customWidth="1"/>
    <col min="8" max="8" width="7" customWidth="1"/>
    <col min="9" max="9" width="10" customWidth="1"/>
    <col min="10" max="10" width="13" customWidth="1"/>
    <col min="11" max="11" width="17" customWidth="1"/>
    <col min="12" max="12" width="11" customWidth="1"/>
    <col min="13" max="13" width="10" customWidth="1"/>
    <col min="14" max="14" width="18" customWidth="1"/>
    <col min="15" max="15" width="14" customWidth="1"/>
    <col min="16" max="16" width="36" customWidth="1"/>
    <col min="17" max="17" width="13" customWidth="1"/>
    <col min="18" max="18" width="10" customWidth="1" hidden="1"/>
  </cols>
  <sheetData>
    <row r="1" ht="32" customHeight="1">
      <c r="A1" s="42" t="inlineStr">
        <is>
          <t xml:space="preserve">Status</t>
        </is>
      </c>
      <c r="B1" s="1" t="inlineStr">
        <is>
          <t xml:space="preserve">Txn ID</t>
        </is>
      </c>
      <c r="C1" s="26" t="inlineStr">
        <is>
          <t xml:space="preserve">Type</t>
        </is>
      </c>
      <c r="D1" s="25" t="inlineStr">
        <is>
          <t xml:space="preserve">Time</t>
        </is>
      </c>
      <c r="E1" s="1" t="inlineStr">
        <is>
          <t xml:space="preserve">Asset ID</t>
        </is>
      </c>
      <c r="F1" s="1" t="inlineStr">
        <is>
          <t xml:space="preserve">Item no</t>
        </is>
      </c>
      <c r="G1" s="41" t="inlineStr">
        <is>
          <t xml:space="preserve">Description</t>
        </is>
      </c>
      <c r="H1" s="25" t="inlineStr">
        <is>
          <t xml:space="preserve">Qty</t>
        </is>
      </c>
      <c r="I1" s="1" t="inlineStr">
        <is>
          <t xml:space="preserve">Badge</t>
        </is>
      </c>
      <c r="J1" s="1" t="inlineStr">
        <is>
          <t xml:space="preserve">Charge code</t>
        </is>
      </c>
      <c r="K1" s="25" t="inlineStr">
        <is>
          <t xml:space="preserve">Due</t>
        </is>
      </c>
      <c r="L1" s="1" t="inlineStr">
        <is>
          <t xml:space="preserve">Closes txn</t>
        </is>
      </c>
      <c r="M1" s="26" t="inlineStr">
        <is>
          <t xml:space="preserve">Condition</t>
        </is>
      </c>
      <c r="N1" s="1" t="inlineStr">
        <is>
          <t xml:space="preserve">Destination</t>
        </is>
      </c>
      <c r="O1" s="1" t="inlineStr">
        <is>
          <t xml:space="preserve">Terminal</t>
        </is>
      </c>
      <c r="P1" s="1" t="inlineStr">
        <is>
          <t xml:space="preserve">Notes</t>
        </is>
      </c>
      <c r="Q1" s="42" t="inlineStr">
        <is>
          <t xml:space="preserve">Cal check</t>
        </is>
      </c>
      <c r="R1" s="41" t="inlineStr">
        <is>
          <t xml:space="preserve">Chase key</t>
        </is>
      </c>
    </row>
    <row r="2">
      <c r="A2" s="38">
        <f>IF(C2="","",IF(B2="","Needs ID",IF(OR(C2="loan",C2="send_out"),IF(COUNTIF($L$2:$L$1001,B2)&gt;0,"Closed",IF(K2="","Open",IF(K2&lt;NOW(),"Overdue","Open"))),IF(C2="return",IF(OR(L2="",COUNTIF($B$2:$B$1001,L2)=0),"No match",IF(OR(M2="worn",M2="damaged"),"Quarantine","Returned")),IF(C2="issue","Issued",IF(C2="transfer","Moved",IF(C2="write_off","Written off",IF(C2="unfilled","Unfilled",""))))))))</f>
      </c>
      <c r="B2" s="31" t="inlineStr">
        <is>
          <t xml:space="preserve">T-000101</t>
        </is>
      </c>
      <c r="C2" s="35" t="inlineStr">
        <is>
          <t xml:space="preserve">loan</t>
        </is>
      </c>
      <c r="D2" s="33">
        <v>46279.2861111111</v>
      </c>
      <c r="E2" s="31" t="inlineStr">
        <is>
          <t xml:space="preserve">TW-0412</t>
        </is>
      </c>
      <c r="F2" s="31" t="inlineStr">
        <is>
          <t xml:space="preserve">TW-50NM</t>
        </is>
      </c>
      <c r="G2" s="37">
        <f>IF(F2="","",IF(ISNA(MATCH(F2,'Item master'!$A$2:$A$301,0)),"Not in Item master",IFERROR(INDEX('Item master'!$B$2:$B$301,MATCH(F2,'Item master'!$A$2:$A$301,0))&amp;"","")))</f>
      </c>
      <c r="H2" s="34">
        <v>1</v>
      </c>
      <c r="I2" s="31" t="inlineStr">
        <is>
          <t xml:space="preserve">B-1042</t>
        </is>
      </c>
      <c r="J2" s="31" t="inlineStr">
        <is>
          <t xml:space="preserve">WO-58831</t>
        </is>
      </c>
      <c r="K2" s="33">
        <v>46279.625</v>
      </c>
      <c r="L2" s="31"/>
      <c r="M2" s="35" t="inlineStr">
        <is>
          <t xml:space="preserve">good</t>
        </is>
      </c>
      <c r="N2" s="30" t="inlineStr">
        <is>
          <t xml:space="preserve">Line 4</t>
        </is>
      </c>
      <c r="O2" s="30" t="inlineStr">
        <is>
          <t xml:space="preserve">Window A</t>
        </is>
      </c>
      <c r="P2" s="36"/>
      <c r="Q2" s="38">
        <f>IF(OR(C2&lt;&gt;"loan",E2=""),"",IF(ISNA(MATCH(E2,Units!$A$2:$A$501,0)),"",IF(INDEX(Units!$E$2:$E$501,MATCH(E2,Units!$A$2:$A$501,0))="","",IF(K2="","No due date",IF(INT(K2)&gt;INDEX(Units!$E$2:$E$501,MATCH(E2,Units!$A$2:$A$501,0)),"Past cal date","OK")))))</f>
      </c>
      <c r="R2" s="37">
        <f>IF(A2="Overdue",K2+ROW()/10000000,"")</f>
      </c>
    </row>
    <row r="3">
      <c r="A3" s="38">
        <f>IF(C3="","",IF(B3="","Needs ID",IF(OR(C3="loan",C3="send_out"),IF(COUNTIF($L$2:$L$1001,B3)&gt;0,"Closed",IF(K3="","Open",IF(K3&lt;NOW(),"Overdue","Open"))),IF(C3="return",IF(OR(L3="",COUNTIF($B$2:$B$1001,L3)=0),"No match",IF(OR(M3="worn",M3="damaged"),"Quarantine","Returned")),IF(C3="issue","Issued",IF(C3="transfer","Moved",IF(C3="write_off","Written off",IF(C3="unfilled","Unfilled",""))))))))</f>
      </c>
      <c r="B3" s="31" t="inlineStr">
        <is>
          <t xml:space="preserve">T-000102</t>
        </is>
      </c>
      <c r="C3" s="35" t="inlineStr">
        <is>
          <t xml:space="preserve">issue</t>
        </is>
      </c>
      <c r="D3" s="33">
        <v>46279.2881944444</v>
      </c>
      <c r="E3" s="31"/>
      <c r="F3" s="31" t="inlineStr">
        <is>
          <t xml:space="preserve">INS-0042</t>
        </is>
      </c>
      <c r="G3" s="37">
        <f>IF(F3="","",IF(ISNA(MATCH(F3,'Item master'!$A$2:$A$301,0)),"Not in Item master",IFERROR(INDEX('Item master'!$B$2:$B$301,MATCH(F3,'Item master'!$A$2:$A$301,0))&amp;"","")))</f>
      </c>
      <c r="H3" s="34">
        <v>10</v>
      </c>
      <c r="I3" s="31" t="inlineStr">
        <is>
          <t xml:space="preserve">B-1042</t>
        </is>
      </c>
      <c r="J3" s="31" t="inlineStr">
        <is>
          <t xml:space="preserve">WO-58831</t>
        </is>
      </c>
      <c r="K3" s="33"/>
      <c r="L3" s="31"/>
      <c r="M3" s="35"/>
      <c r="N3" s="30"/>
      <c r="O3" s="30" t="inlineStr">
        <is>
          <t xml:space="preserve">Vending 2</t>
        </is>
      </c>
      <c r="P3" s="36" t="inlineStr">
        <is>
          <t xml:space="preserve">Carbide inserts. Never returns so never overdue</t>
        </is>
      </c>
      <c r="Q3" s="38">
        <f>IF(OR(C3&lt;&gt;"loan",E3=""),"",IF(ISNA(MATCH(E3,Units!$A$2:$A$501,0)),"",IF(INDEX(Units!$E$2:$E$501,MATCH(E3,Units!$A$2:$A$501,0))="","",IF(K3="","No due date",IF(INT(K3)&gt;INDEX(Units!$E$2:$E$501,MATCH(E3,Units!$A$2:$A$501,0)),"Past cal date","OK")))))</f>
      </c>
      <c r="R3" s="37">
        <f>IF(A3="Overdue",K3+ROW()/10000000,"")</f>
      </c>
    </row>
    <row r="4">
      <c r="A4" s="38">
        <f>IF(C4="","",IF(B4="","Needs ID",IF(OR(C4="loan",C4="send_out"),IF(COUNTIF($L$2:$L$1001,B4)&gt;0,"Closed",IF(K4="","Open",IF(K4&lt;NOW(),"Overdue","Open"))),IF(C4="return",IF(OR(L4="",COUNTIF($B$2:$B$1001,L4)=0),"No match",IF(OR(M4="worn",M4="damaged"),"Quarantine","Returned")),IF(C4="issue","Issued",IF(C4="transfer","Moved",IF(C4="write_off","Written off",IF(C4="unfilled","Unfilled",""))))))))</f>
      </c>
      <c r="B4" s="31" t="inlineStr">
        <is>
          <t xml:space="preserve">T-000103</t>
        </is>
      </c>
      <c r="C4" s="35" t="inlineStr">
        <is>
          <t xml:space="preserve">loan</t>
        </is>
      </c>
      <c r="D4" s="33">
        <v>46279.2986111111</v>
      </c>
      <c r="E4" s="31" t="inlineStr">
        <is>
          <t xml:space="preserve">MIC-0107</t>
        </is>
      </c>
      <c r="F4" s="31" t="inlineStr">
        <is>
          <t xml:space="preserve">MIC-0-25</t>
        </is>
      </c>
      <c r="G4" s="37">
        <f>IF(F4="","",IF(ISNA(MATCH(F4,'Item master'!$A$2:$A$301,0)),"Not in Item master",IFERROR(INDEX('Item master'!$B$2:$B$301,MATCH(F4,'Item master'!$A$2:$A$301,0))&amp;"","")))</f>
      </c>
      <c r="H4" s="34">
        <v>1</v>
      </c>
      <c r="I4" s="31" t="inlineStr">
        <is>
          <t xml:space="preserve">B-2210</t>
        </is>
      </c>
      <c r="J4" s="31" t="inlineStr">
        <is>
          <t xml:space="preserve">CC-QA</t>
        </is>
      </c>
      <c r="K4" s="33">
        <v>46283.9993055556</v>
      </c>
      <c r="L4" s="31"/>
      <c r="M4" s="35" t="inlineStr">
        <is>
          <t xml:space="preserve">good</t>
        </is>
      </c>
      <c r="N4" s="30" t="inlineStr">
        <is>
          <t xml:space="preserve">Final inspection</t>
        </is>
      </c>
      <c r="O4" s="30" t="inlineStr">
        <is>
          <t xml:space="preserve">Locker bank 1</t>
        </is>
      </c>
      <c r="P4" s="36" t="inlineStr">
        <is>
          <t xml:space="preserve">Due capped at the unit's calibration due date of 2026-09-18</t>
        </is>
      </c>
      <c r="Q4" s="38">
        <f>IF(OR(C4&lt;&gt;"loan",E4=""),"",IF(ISNA(MATCH(E4,Units!$A$2:$A$501,0)),"",IF(INDEX(Units!$E$2:$E$501,MATCH(E4,Units!$A$2:$A$501,0))="","",IF(K4="","No due date",IF(INT(K4)&gt;INDEX(Units!$E$2:$E$501,MATCH(E4,Units!$A$2:$A$501,0)),"Past cal date","OK")))))</f>
      </c>
      <c r="R4" s="37">
        <f>IF(A4="Overdue",K4+ROW()/10000000,"")</f>
      </c>
    </row>
    <row r="5">
      <c r="A5" s="38">
        <f>IF(C5="","",IF(B5="","Needs ID",IF(OR(C5="loan",C5="send_out"),IF(COUNTIF($L$2:$L$1001,B5)&gt;0,"Closed",IF(K5="","Open",IF(K5&lt;NOW(),"Overdue","Open"))),IF(C5="return",IF(OR(L5="",COUNTIF($B$2:$B$1001,L5)=0),"No match",IF(OR(M5="worn",M5="damaged"),"Quarantine","Returned")),IF(C5="issue","Issued",IF(C5="transfer","Moved",IF(C5="write_off","Written off",IF(C5="unfilled","Unfilled",""))))))))</f>
      </c>
      <c r="B5" s="31" t="inlineStr">
        <is>
          <t xml:space="preserve">T-000110</t>
        </is>
      </c>
      <c r="C5" s="35" t="inlineStr">
        <is>
          <t xml:space="preserve">return</t>
        </is>
      </c>
      <c r="D5" s="33">
        <v>46279.6118055556</v>
      </c>
      <c r="E5" s="31" t="inlineStr">
        <is>
          <t xml:space="preserve">TW-0412</t>
        </is>
      </c>
      <c r="F5" s="31" t="inlineStr">
        <is>
          <t xml:space="preserve">TW-50NM</t>
        </is>
      </c>
      <c r="G5" s="37">
        <f>IF(F5="","",IF(ISNA(MATCH(F5,'Item master'!$A$2:$A$301,0)),"Not in Item master",IFERROR(INDEX('Item master'!$B$2:$B$301,MATCH(F5,'Item master'!$A$2:$A$301,0))&amp;"","")))</f>
      </c>
      <c r="H5" s="34">
        <v>1</v>
      </c>
      <c r="I5" s="31" t="inlineStr">
        <is>
          <t xml:space="preserve">B-1188</t>
        </is>
      </c>
      <c r="J5" s="31"/>
      <c r="K5" s="33"/>
      <c r="L5" s="31" t="inlineStr">
        <is>
          <t xml:space="preserve">T-000101</t>
        </is>
      </c>
      <c r="M5" s="35" t="inlineStr">
        <is>
          <t xml:space="preserve">damaged</t>
        </is>
      </c>
      <c r="N5" s="30"/>
      <c r="O5" s="30" t="inlineStr">
        <is>
          <t xml:space="preserve">Window A</t>
        </is>
      </c>
      <c r="P5" s="36" t="inlineStr">
        <is>
          <t xml:space="preserve">Returned by a different badge than the loan. Ratchet slipping, moved to quarantine bin</t>
        </is>
      </c>
      <c r="Q5" s="38">
        <f>IF(OR(C5&lt;&gt;"loan",E5=""),"",IF(ISNA(MATCH(E5,Units!$A$2:$A$501,0)),"",IF(INDEX(Units!$E$2:$E$501,MATCH(E5,Units!$A$2:$A$501,0))="","",IF(K5="","No due date",IF(INT(K5)&gt;INDEX(Units!$E$2:$E$501,MATCH(E5,Units!$A$2:$A$501,0)),"Past cal date","OK")))))</f>
      </c>
      <c r="R5" s="37">
        <f>IF(A5="Overdue",K5+ROW()/10000000,"")</f>
      </c>
    </row>
    <row r="6">
      <c r="A6" s="38">
        <f>IF(C6="","",IF(B6="","Needs ID",IF(OR(C6="loan",C6="send_out"),IF(COUNTIF($L$2:$L$1001,B6)&gt;0,"Closed",IF(K6="","Open",IF(K6&lt;NOW(),"Overdue","Open"))),IF(C6="return",IF(OR(L6="",COUNTIF($B$2:$B$1001,L6)=0),"No match",IF(OR(M6="worn",M6="damaged"),"Quarantine","Returned")),IF(C6="issue","Issued",IF(C6="transfer","Moved",IF(C6="write_off","Written off",IF(C6="unfilled","Unfilled",""))))))))</f>
      </c>
      <c r="B6" s="31" t="inlineStr">
        <is>
          <t xml:space="preserve">T-000118</t>
        </is>
      </c>
      <c r="C6" s="35" t="inlineStr">
        <is>
          <t xml:space="preserve">send_out</t>
        </is>
      </c>
      <c r="D6" s="33">
        <v>46280.3958333333</v>
      </c>
      <c r="E6" s="31" t="inlineStr">
        <is>
          <t xml:space="preserve">MIC-0112</t>
        </is>
      </c>
      <c r="F6" s="31" t="inlineStr">
        <is>
          <t xml:space="preserve">MIC-0-25</t>
        </is>
      </c>
      <c r="G6" s="37">
        <f>IF(F6="","",IF(ISNA(MATCH(F6,'Item master'!$A$2:$A$301,0)),"Not in Item master",IFERROR(INDEX('Item master'!$B$2:$B$301,MATCH(F6,'Item master'!$A$2:$A$301,0))&amp;"","")))</f>
      </c>
      <c r="H6" s="34">
        <v>1</v>
      </c>
      <c r="I6" s="31" t="inlineStr">
        <is>
          <t xml:space="preserve">B-0007</t>
        </is>
      </c>
      <c r="J6" s="31" t="inlineStr">
        <is>
          <t xml:space="preserve">CC-QA</t>
        </is>
      </c>
      <c r="K6" s="33">
        <v>46301.7083333333</v>
      </c>
      <c r="L6" s="31"/>
      <c r="M6" s="35" t="inlineStr">
        <is>
          <t xml:space="preserve">good</t>
        </is>
      </c>
      <c r="N6" s="30" t="inlineStr">
        <is>
          <t xml:space="preserve">Calibration lab</t>
        </is>
      </c>
      <c r="O6" s="30" t="inlineStr">
        <is>
          <t xml:space="preserve">Window A</t>
        </is>
      </c>
      <c r="P6" s="36" t="inlineStr">
        <is>
          <t xml:space="preserve">Out for calibration. Shows on the overdue list if the lab is late</t>
        </is>
      </c>
      <c r="Q6" s="38">
        <f>IF(OR(C6&lt;&gt;"loan",E6=""),"",IF(ISNA(MATCH(E6,Units!$A$2:$A$501,0)),"",IF(INDEX(Units!$E$2:$E$501,MATCH(E6,Units!$A$2:$A$501,0))="","",IF(K6="","No due date",IF(INT(K6)&gt;INDEX(Units!$E$2:$E$501,MATCH(E6,Units!$A$2:$A$501,0)),"Past cal date","OK")))))</f>
      </c>
      <c r="R6" s="37">
        <f>IF(A6="Overdue",K6+ROW()/10000000,"")</f>
      </c>
    </row>
    <row r="7">
      <c r="A7" s="38">
        <f>IF(C7="","",IF(B7="","Needs ID",IF(OR(C7="loan",C7="send_out"),IF(COUNTIF($L$2:$L$1001,B7)&gt;0,"Closed",IF(K7="","Open",IF(K7&lt;NOW(),"Overdue","Open"))),IF(C7="return",IF(OR(L7="",COUNTIF($B$2:$B$1001,L7)=0),"No match",IF(OR(M7="worn",M7="damaged"),"Quarantine","Returned")),IF(C7="issue","Issued",IF(C7="transfer","Moved",IF(C7="write_off","Written off",IF(C7="unfilled","Unfilled",""))))))))</f>
      </c>
      <c r="B7" s="31" t="inlineStr">
        <is>
          <t xml:space="preserve">T-000125</t>
        </is>
      </c>
      <c r="C7" s="35" t="inlineStr">
        <is>
          <t xml:space="preserve">unfilled</t>
        </is>
      </c>
      <c r="D7" s="33">
        <v>46280.4180555556</v>
      </c>
      <c r="E7" s="31"/>
      <c r="F7" s="31" t="inlineStr">
        <is>
          <t xml:space="preserve">DRL-HSS-8</t>
        </is>
      </c>
      <c r="G7" s="37">
        <f>IF(F7="","",IF(ISNA(MATCH(F7,'Item master'!$A$2:$A$301,0)),"Not in Item master",IFERROR(INDEX('Item master'!$B$2:$B$301,MATCH(F7,'Item master'!$A$2:$A$301,0))&amp;"","")))</f>
      </c>
      <c r="H7" s="34">
        <v>1</v>
      </c>
      <c r="I7" s="31" t="inlineStr">
        <is>
          <t xml:space="preserve">B-3007</t>
        </is>
      </c>
      <c r="J7" s="31" t="inlineStr">
        <is>
          <t xml:space="preserve">WO-58840</t>
        </is>
      </c>
      <c r="K7" s="33"/>
      <c r="L7" s="31"/>
      <c r="M7" s="35"/>
      <c r="N7" s="30"/>
      <c r="O7" s="30" t="inlineStr">
        <is>
          <t xml:space="preserve">Window A</t>
        </is>
      </c>
      <c r="P7" s="36" t="inlineStr">
        <is>
          <t xml:space="preserve">None on the shelf. Counts against fill rate</t>
        </is>
      </c>
      <c r="Q7" s="38">
        <f>IF(OR(C7&lt;&gt;"loan",E7=""),"",IF(ISNA(MATCH(E7,Units!$A$2:$A$501,0)),"",IF(INDEX(Units!$E$2:$E$501,MATCH(E7,Units!$A$2:$A$501,0))="","",IF(K7="","No due date",IF(INT(K7)&gt;INDEX(Units!$E$2:$E$501,MATCH(E7,Units!$A$2:$A$501,0)),"Past cal date","OK")))))</f>
      </c>
      <c r="R7" s="37">
        <f>IF(A7="Overdue",K7+ROW()/10000000,"")</f>
      </c>
    </row>
    <row r="8">
      <c r="A8" s="38">
        <f>IF(C8="","",IF(B8="","Needs ID",IF(OR(C8="loan",C8="send_out"),IF(COUNTIF($L$2:$L$1001,B8)&gt;0,"Closed",IF(K8="","Open",IF(K8&lt;NOW(),"Overdue","Open"))),IF(C8="return",IF(OR(L8="",COUNTIF($B$2:$B$1001,L8)=0),"No match",IF(OR(M8="worn",M8="damaged"),"Quarantine","Returned")),IF(C8="issue","Issued",IF(C8="transfer","Moved",IF(C8="write_off","Written off",IF(C8="unfilled","Unfilled",""))))))))</f>
      </c>
      <c r="B8" s="31"/>
      <c r="C8" s="35"/>
      <c r="D8" s="33"/>
      <c r="E8" s="31"/>
      <c r="F8" s="31"/>
      <c r="G8" s="37">
        <f>IF(F8="","",IF(ISNA(MATCH(F8,'Item master'!$A$2:$A$301,0)),"Not in Item master",IFERROR(INDEX('Item master'!$B$2:$B$301,MATCH(F8,'Item master'!$A$2:$A$301,0))&amp;"","")))</f>
      </c>
      <c r="H8" s="34"/>
      <c r="I8" s="31"/>
      <c r="J8" s="31"/>
      <c r="K8" s="33"/>
      <c r="L8" s="31"/>
      <c r="M8" s="35"/>
      <c r="N8" s="30"/>
      <c r="O8" s="30"/>
      <c r="P8" s="36"/>
      <c r="Q8" s="38">
        <f>IF(OR(C8&lt;&gt;"loan",E8=""),"",IF(ISNA(MATCH(E8,Units!$A$2:$A$501,0)),"",IF(INDEX(Units!$E$2:$E$501,MATCH(E8,Units!$A$2:$A$501,0))="","",IF(K8="","No due date",IF(INT(K8)&gt;INDEX(Units!$E$2:$E$501,MATCH(E8,Units!$A$2:$A$501,0)),"Past cal date","OK")))))</f>
      </c>
      <c r="R8" s="37">
        <f>IF(A8="Overdue",K8+ROW()/10000000,"")</f>
      </c>
    </row>
    <row r="9">
      <c r="A9" s="38">
        <f>IF(C9="","",IF(B9="","Needs ID",IF(OR(C9="loan",C9="send_out"),IF(COUNTIF($L$2:$L$1001,B9)&gt;0,"Closed",IF(K9="","Open",IF(K9&lt;NOW(),"Overdue","Open"))),IF(C9="return",IF(OR(L9="",COUNTIF($B$2:$B$1001,L9)=0),"No match",IF(OR(M9="worn",M9="damaged"),"Quarantine","Returned")),IF(C9="issue","Issued",IF(C9="transfer","Moved",IF(C9="write_off","Written off",IF(C9="unfilled","Unfilled",""))))))))</f>
      </c>
      <c r="B9" s="31"/>
      <c r="C9" s="35"/>
      <c r="D9" s="33"/>
      <c r="E9" s="31"/>
      <c r="F9" s="31"/>
      <c r="G9" s="37">
        <f>IF(F9="","",IF(ISNA(MATCH(F9,'Item master'!$A$2:$A$301,0)),"Not in Item master",IFERROR(INDEX('Item master'!$B$2:$B$301,MATCH(F9,'Item master'!$A$2:$A$301,0))&amp;"","")))</f>
      </c>
      <c r="H9" s="34"/>
      <c r="I9" s="31"/>
      <c r="J9" s="31"/>
      <c r="K9" s="33"/>
      <c r="L9" s="31"/>
      <c r="M9" s="35"/>
      <c r="N9" s="30"/>
      <c r="O9" s="30"/>
      <c r="P9" s="36"/>
      <c r="Q9" s="38">
        <f>IF(OR(C9&lt;&gt;"loan",E9=""),"",IF(ISNA(MATCH(E9,Units!$A$2:$A$501,0)),"",IF(INDEX(Units!$E$2:$E$501,MATCH(E9,Units!$A$2:$A$501,0))="","",IF(K9="","No due date",IF(INT(K9)&gt;INDEX(Units!$E$2:$E$501,MATCH(E9,Units!$A$2:$A$501,0)),"Past cal date","OK")))))</f>
      </c>
      <c r="R9" s="37">
        <f>IF(A9="Overdue",K9+ROW()/10000000,"")</f>
      </c>
    </row>
    <row r="10">
      <c r="A10" s="38">
        <f>IF(C10="","",IF(B10="","Needs ID",IF(OR(C10="loan",C10="send_out"),IF(COUNTIF($L$2:$L$1001,B10)&gt;0,"Closed",IF(K10="","Open",IF(K10&lt;NOW(),"Overdue","Open"))),IF(C10="return",IF(OR(L10="",COUNTIF($B$2:$B$1001,L10)=0),"No match",IF(OR(M10="worn",M10="damaged"),"Quarantine","Returned")),IF(C10="issue","Issued",IF(C10="transfer","Moved",IF(C10="write_off","Written off",IF(C10="unfilled","Unfilled",""))))))))</f>
      </c>
      <c r="B10" s="31"/>
      <c r="C10" s="35"/>
      <c r="D10" s="33"/>
      <c r="E10" s="31"/>
      <c r="F10" s="31"/>
      <c r="G10" s="37">
        <f>IF(F10="","",IF(ISNA(MATCH(F10,'Item master'!$A$2:$A$301,0)),"Not in Item master",IFERROR(INDEX('Item master'!$B$2:$B$301,MATCH(F10,'Item master'!$A$2:$A$301,0))&amp;"","")))</f>
      </c>
      <c r="H10" s="34"/>
      <c r="I10" s="31"/>
      <c r="J10" s="31"/>
      <c r="K10" s="33"/>
      <c r="L10" s="31"/>
      <c r="M10" s="35"/>
      <c r="N10" s="30"/>
      <c r="O10" s="30"/>
      <c r="P10" s="36"/>
      <c r="Q10" s="38">
        <f>IF(OR(C10&lt;&gt;"loan",E10=""),"",IF(ISNA(MATCH(E10,Units!$A$2:$A$501,0)),"",IF(INDEX(Units!$E$2:$E$501,MATCH(E10,Units!$A$2:$A$501,0))="","",IF(K10="","No due date",IF(INT(K10)&gt;INDEX(Units!$E$2:$E$501,MATCH(E10,Units!$A$2:$A$501,0)),"Past cal date","OK")))))</f>
      </c>
      <c r="R10" s="37">
        <f>IF(A10="Overdue",K10+ROW()/10000000,"")</f>
      </c>
    </row>
    <row r="11">
      <c r="A11" s="38">
        <f>IF(C11="","",IF(B11="","Needs ID",IF(OR(C11="loan",C11="send_out"),IF(COUNTIF($L$2:$L$1001,B11)&gt;0,"Closed",IF(K11="","Open",IF(K11&lt;NOW(),"Overdue","Open"))),IF(C11="return",IF(OR(L11="",COUNTIF($B$2:$B$1001,L11)=0),"No match",IF(OR(M11="worn",M11="damaged"),"Quarantine","Returned")),IF(C11="issue","Issued",IF(C11="transfer","Moved",IF(C11="write_off","Written off",IF(C11="unfilled","Unfilled",""))))))))</f>
      </c>
      <c r="B11" s="31"/>
      <c r="C11" s="35"/>
      <c r="D11" s="33"/>
      <c r="E11" s="31"/>
      <c r="F11" s="31"/>
      <c r="G11" s="37">
        <f>IF(F11="","",IF(ISNA(MATCH(F11,'Item master'!$A$2:$A$301,0)),"Not in Item master",IFERROR(INDEX('Item master'!$B$2:$B$301,MATCH(F11,'Item master'!$A$2:$A$301,0))&amp;"","")))</f>
      </c>
      <c r="H11" s="34"/>
      <c r="I11" s="31"/>
      <c r="J11" s="31"/>
      <c r="K11" s="33"/>
      <c r="L11" s="31"/>
      <c r="M11" s="35"/>
      <c r="N11" s="30"/>
      <c r="O11" s="30"/>
      <c r="P11" s="36"/>
      <c r="Q11" s="38">
        <f>IF(OR(C11&lt;&gt;"loan",E11=""),"",IF(ISNA(MATCH(E11,Units!$A$2:$A$501,0)),"",IF(INDEX(Units!$E$2:$E$501,MATCH(E11,Units!$A$2:$A$501,0))="","",IF(K11="","No due date",IF(INT(K11)&gt;INDEX(Units!$E$2:$E$501,MATCH(E11,Units!$A$2:$A$501,0)),"Past cal date","OK")))))</f>
      </c>
      <c r="R11" s="37">
        <f>IF(A11="Overdue",K11+ROW()/10000000,"")</f>
      </c>
    </row>
    <row r="12">
      <c r="A12" s="38">
        <f>IF(C12="","",IF(B12="","Needs ID",IF(OR(C12="loan",C12="send_out"),IF(COUNTIF($L$2:$L$1001,B12)&gt;0,"Closed",IF(K12="","Open",IF(K12&lt;NOW(),"Overdue","Open"))),IF(C12="return",IF(OR(L12="",COUNTIF($B$2:$B$1001,L12)=0),"No match",IF(OR(M12="worn",M12="damaged"),"Quarantine","Returned")),IF(C12="issue","Issued",IF(C12="transfer","Moved",IF(C12="write_off","Written off",IF(C12="unfilled","Unfilled",""))))))))</f>
      </c>
      <c r="B12" s="31"/>
      <c r="C12" s="35"/>
      <c r="D12" s="33"/>
      <c r="E12" s="31"/>
      <c r="F12" s="31"/>
      <c r="G12" s="37">
        <f>IF(F12="","",IF(ISNA(MATCH(F12,'Item master'!$A$2:$A$301,0)),"Not in Item master",IFERROR(INDEX('Item master'!$B$2:$B$301,MATCH(F12,'Item master'!$A$2:$A$301,0))&amp;"","")))</f>
      </c>
      <c r="H12" s="34"/>
      <c r="I12" s="31"/>
      <c r="J12" s="31"/>
      <c r="K12" s="33"/>
      <c r="L12" s="31"/>
      <c r="M12" s="35"/>
      <c r="N12" s="30"/>
      <c r="O12" s="30"/>
      <c r="P12" s="36"/>
      <c r="Q12" s="38">
        <f>IF(OR(C12&lt;&gt;"loan",E12=""),"",IF(ISNA(MATCH(E12,Units!$A$2:$A$501,0)),"",IF(INDEX(Units!$E$2:$E$501,MATCH(E12,Units!$A$2:$A$501,0))="","",IF(K12="","No due date",IF(INT(K12)&gt;INDEX(Units!$E$2:$E$501,MATCH(E12,Units!$A$2:$A$501,0)),"Past cal date","OK")))))</f>
      </c>
      <c r="R12" s="37">
        <f>IF(A12="Overdue",K12+ROW()/10000000,"")</f>
      </c>
    </row>
    <row r="13">
      <c r="A13" s="38">
        <f>IF(C13="","",IF(B13="","Needs ID",IF(OR(C13="loan",C13="send_out"),IF(COUNTIF($L$2:$L$1001,B13)&gt;0,"Closed",IF(K13="","Open",IF(K13&lt;NOW(),"Overdue","Open"))),IF(C13="return",IF(OR(L13="",COUNTIF($B$2:$B$1001,L13)=0),"No match",IF(OR(M13="worn",M13="damaged"),"Quarantine","Returned")),IF(C13="issue","Issued",IF(C13="transfer","Moved",IF(C13="write_off","Written off",IF(C13="unfilled","Unfilled",""))))))))</f>
      </c>
      <c r="B13" s="31"/>
      <c r="C13" s="35"/>
      <c r="D13" s="33"/>
      <c r="E13" s="31"/>
      <c r="F13" s="31"/>
      <c r="G13" s="37">
        <f>IF(F13="","",IF(ISNA(MATCH(F13,'Item master'!$A$2:$A$301,0)),"Not in Item master",IFERROR(INDEX('Item master'!$B$2:$B$301,MATCH(F13,'Item master'!$A$2:$A$301,0))&amp;"","")))</f>
      </c>
      <c r="H13" s="34"/>
      <c r="I13" s="31"/>
      <c r="J13" s="31"/>
      <c r="K13" s="33"/>
      <c r="L13" s="31"/>
      <c r="M13" s="35"/>
      <c r="N13" s="30"/>
      <c r="O13" s="30"/>
      <c r="P13" s="36"/>
      <c r="Q13" s="38">
        <f>IF(OR(C13&lt;&gt;"loan",E13=""),"",IF(ISNA(MATCH(E13,Units!$A$2:$A$501,0)),"",IF(INDEX(Units!$E$2:$E$501,MATCH(E13,Units!$A$2:$A$501,0))="","",IF(K13="","No due date",IF(INT(K13)&gt;INDEX(Units!$E$2:$E$501,MATCH(E13,Units!$A$2:$A$501,0)),"Past cal date","OK")))))</f>
      </c>
      <c r="R13" s="37">
        <f>IF(A13="Overdue",K13+ROW()/10000000,"")</f>
      </c>
    </row>
    <row r="14">
      <c r="A14" s="38">
        <f>IF(C14="","",IF(B14="","Needs ID",IF(OR(C14="loan",C14="send_out"),IF(COUNTIF($L$2:$L$1001,B14)&gt;0,"Closed",IF(K14="","Open",IF(K14&lt;NOW(),"Overdue","Open"))),IF(C14="return",IF(OR(L14="",COUNTIF($B$2:$B$1001,L14)=0),"No match",IF(OR(M14="worn",M14="damaged"),"Quarantine","Returned")),IF(C14="issue","Issued",IF(C14="transfer","Moved",IF(C14="write_off","Written off",IF(C14="unfilled","Unfilled",""))))))))</f>
      </c>
      <c r="B14" s="31"/>
      <c r="C14" s="35"/>
      <c r="D14" s="33"/>
      <c r="E14" s="31"/>
      <c r="F14" s="31"/>
      <c r="G14" s="37">
        <f>IF(F14="","",IF(ISNA(MATCH(F14,'Item master'!$A$2:$A$301,0)),"Not in Item master",IFERROR(INDEX('Item master'!$B$2:$B$301,MATCH(F14,'Item master'!$A$2:$A$301,0))&amp;"","")))</f>
      </c>
      <c r="H14" s="34"/>
      <c r="I14" s="31"/>
      <c r="J14" s="31"/>
      <c r="K14" s="33"/>
      <c r="L14" s="31"/>
      <c r="M14" s="35"/>
      <c r="N14" s="30"/>
      <c r="O14" s="30"/>
      <c r="P14" s="36"/>
      <c r="Q14" s="38">
        <f>IF(OR(C14&lt;&gt;"loan",E14=""),"",IF(ISNA(MATCH(E14,Units!$A$2:$A$501,0)),"",IF(INDEX(Units!$E$2:$E$501,MATCH(E14,Units!$A$2:$A$501,0))="","",IF(K14="","No due date",IF(INT(K14)&gt;INDEX(Units!$E$2:$E$501,MATCH(E14,Units!$A$2:$A$501,0)),"Past cal date","OK")))))</f>
      </c>
      <c r="R14" s="37">
        <f>IF(A14="Overdue",K14+ROW()/10000000,"")</f>
      </c>
    </row>
    <row r="15">
      <c r="A15" s="38">
        <f>IF(C15="","",IF(B15="","Needs ID",IF(OR(C15="loan",C15="send_out"),IF(COUNTIF($L$2:$L$1001,B15)&gt;0,"Closed",IF(K15="","Open",IF(K15&lt;NOW(),"Overdue","Open"))),IF(C15="return",IF(OR(L15="",COUNTIF($B$2:$B$1001,L15)=0),"No match",IF(OR(M15="worn",M15="damaged"),"Quarantine","Returned")),IF(C15="issue","Issued",IF(C15="transfer","Moved",IF(C15="write_off","Written off",IF(C15="unfilled","Unfilled",""))))))))</f>
      </c>
      <c r="B15" s="31"/>
      <c r="C15" s="35"/>
      <c r="D15" s="33"/>
      <c r="E15" s="31"/>
      <c r="F15" s="31"/>
      <c r="G15" s="37">
        <f>IF(F15="","",IF(ISNA(MATCH(F15,'Item master'!$A$2:$A$301,0)),"Not in Item master",IFERROR(INDEX('Item master'!$B$2:$B$301,MATCH(F15,'Item master'!$A$2:$A$301,0))&amp;"","")))</f>
      </c>
      <c r="H15" s="34"/>
      <c r="I15" s="31"/>
      <c r="J15" s="31"/>
      <c r="K15" s="33"/>
      <c r="L15" s="31"/>
      <c r="M15" s="35"/>
      <c r="N15" s="30"/>
      <c r="O15" s="30"/>
      <c r="P15" s="36"/>
      <c r="Q15" s="38">
        <f>IF(OR(C15&lt;&gt;"loan",E15=""),"",IF(ISNA(MATCH(E15,Units!$A$2:$A$501,0)),"",IF(INDEX(Units!$E$2:$E$501,MATCH(E15,Units!$A$2:$A$501,0))="","",IF(K15="","No due date",IF(INT(K15)&gt;INDEX(Units!$E$2:$E$501,MATCH(E15,Units!$A$2:$A$501,0)),"Past cal date","OK")))))</f>
      </c>
      <c r="R15" s="37">
        <f>IF(A15="Overdue",K15+ROW()/10000000,"")</f>
      </c>
    </row>
    <row r="16">
      <c r="A16" s="38">
        <f>IF(C16="","",IF(B16="","Needs ID",IF(OR(C16="loan",C16="send_out"),IF(COUNTIF($L$2:$L$1001,B16)&gt;0,"Closed",IF(K16="","Open",IF(K16&lt;NOW(),"Overdue","Open"))),IF(C16="return",IF(OR(L16="",COUNTIF($B$2:$B$1001,L16)=0),"No match",IF(OR(M16="worn",M16="damaged"),"Quarantine","Returned")),IF(C16="issue","Issued",IF(C16="transfer","Moved",IF(C16="write_off","Written off",IF(C16="unfilled","Unfilled",""))))))))</f>
      </c>
      <c r="B16" s="31"/>
      <c r="C16" s="35"/>
      <c r="D16" s="33"/>
      <c r="E16" s="31"/>
      <c r="F16" s="31"/>
      <c r="G16" s="37">
        <f>IF(F16="","",IF(ISNA(MATCH(F16,'Item master'!$A$2:$A$301,0)),"Not in Item master",IFERROR(INDEX('Item master'!$B$2:$B$301,MATCH(F16,'Item master'!$A$2:$A$301,0))&amp;"","")))</f>
      </c>
      <c r="H16" s="34"/>
      <c r="I16" s="31"/>
      <c r="J16" s="31"/>
      <c r="K16" s="33"/>
      <c r="L16" s="31"/>
      <c r="M16" s="35"/>
      <c r="N16" s="30"/>
      <c r="O16" s="30"/>
      <c r="P16" s="36"/>
      <c r="Q16" s="38">
        <f>IF(OR(C16&lt;&gt;"loan",E16=""),"",IF(ISNA(MATCH(E16,Units!$A$2:$A$501,0)),"",IF(INDEX(Units!$E$2:$E$501,MATCH(E16,Units!$A$2:$A$501,0))="","",IF(K16="","No due date",IF(INT(K16)&gt;INDEX(Units!$E$2:$E$501,MATCH(E16,Units!$A$2:$A$501,0)),"Past cal date","OK")))))</f>
      </c>
      <c r="R16" s="37">
        <f>IF(A16="Overdue",K16+ROW()/10000000,"")</f>
      </c>
    </row>
    <row r="17">
      <c r="A17" s="38">
        <f>IF(C17="","",IF(B17="","Needs ID",IF(OR(C17="loan",C17="send_out"),IF(COUNTIF($L$2:$L$1001,B17)&gt;0,"Closed",IF(K17="","Open",IF(K17&lt;NOW(),"Overdue","Open"))),IF(C17="return",IF(OR(L17="",COUNTIF($B$2:$B$1001,L17)=0),"No match",IF(OR(M17="worn",M17="damaged"),"Quarantine","Returned")),IF(C17="issue","Issued",IF(C17="transfer","Moved",IF(C17="write_off","Written off",IF(C17="unfilled","Unfilled",""))))))))</f>
      </c>
      <c r="B17" s="31"/>
      <c r="C17" s="35"/>
      <c r="D17" s="33"/>
      <c r="E17" s="31"/>
      <c r="F17" s="31"/>
      <c r="G17" s="37">
        <f>IF(F17="","",IF(ISNA(MATCH(F17,'Item master'!$A$2:$A$301,0)),"Not in Item master",IFERROR(INDEX('Item master'!$B$2:$B$301,MATCH(F17,'Item master'!$A$2:$A$301,0))&amp;"","")))</f>
      </c>
      <c r="H17" s="34"/>
      <c r="I17" s="31"/>
      <c r="J17" s="31"/>
      <c r="K17" s="33"/>
      <c r="L17" s="31"/>
      <c r="M17" s="35"/>
      <c r="N17" s="30"/>
      <c r="O17" s="30"/>
      <c r="P17" s="36"/>
      <c r="Q17" s="38">
        <f>IF(OR(C17&lt;&gt;"loan",E17=""),"",IF(ISNA(MATCH(E17,Units!$A$2:$A$501,0)),"",IF(INDEX(Units!$E$2:$E$501,MATCH(E17,Units!$A$2:$A$501,0))="","",IF(K17="","No due date",IF(INT(K17)&gt;INDEX(Units!$E$2:$E$501,MATCH(E17,Units!$A$2:$A$501,0)),"Past cal date","OK")))))</f>
      </c>
      <c r="R17" s="37">
        <f>IF(A17="Overdue",K17+ROW()/10000000,"")</f>
      </c>
    </row>
    <row r="18">
      <c r="A18" s="38">
        <f>IF(C18="","",IF(B18="","Needs ID",IF(OR(C18="loan",C18="send_out"),IF(COUNTIF($L$2:$L$1001,B18)&gt;0,"Closed",IF(K18="","Open",IF(K18&lt;NOW(),"Overdue","Open"))),IF(C18="return",IF(OR(L18="",COUNTIF($B$2:$B$1001,L18)=0),"No match",IF(OR(M18="worn",M18="damaged"),"Quarantine","Returned")),IF(C18="issue","Issued",IF(C18="transfer","Moved",IF(C18="write_off","Written off",IF(C18="unfilled","Unfilled",""))))))))</f>
      </c>
      <c r="B18" s="31"/>
      <c r="C18" s="35"/>
      <c r="D18" s="33"/>
      <c r="E18" s="31"/>
      <c r="F18" s="31"/>
      <c r="G18" s="37">
        <f>IF(F18="","",IF(ISNA(MATCH(F18,'Item master'!$A$2:$A$301,0)),"Not in Item master",IFERROR(INDEX('Item master'!$B$2:$B$301,MATCH(F18,'Item master'!$A$2:$A$301,0))&amp;"","")))</f>
      </c>
      <c r="H18" s="34"/>
      <c r="I18" s="31"/>
      <c r="J18" s="31"/>
      <c r="K18" s="33"/>
      <c r="L18" s="31"/>
      <c r="M18" s="35"/>
      <c r="N18" s="30"/>
      <c r="O18" s="30"/>
      <c r="P18" s="36"/>
      <c r="Q18" s="38">
        <f>IF(OR(C18&lt;&gt;"loan",E18=""),"",IF(ISNA(MATCH(E18,Units!$A$2:$A$501,0)),"",IF(INDEX(Units!$E$2:$E$501,MATCH(E18,Units!$A$2:$A$501,0))="","",IF(K18="","No due date",IF(INT(K18)&gt;INDEX(Units!$E$2:$E$501,MATCH(E18,Units!$A$2:$A$501,0)),"Past cal date","OK")))))</f>
      </c>
      <c r="R18" s="37">
        <f>IF(A18="Overdue",K18+ROW()/10000000,"")</f>
      </c>
    </row>
    <row r="19">
      <c r="A19" s="38">
        <f>IF(C19="","",IF(B19="","Needs ID",IF(OR(C19="loan",C19="send_out"),IF(COUNTIF($L$2:$L$1001,B19)&gt;0,"Closed",IF(K19="","Open",IF(K19&lt;NOW(),"Overdue","Open"))),IF(C19="return",IF(OR(L19="",COUNTIF($B$2:$B$1001,L19)=0),"No match",IF(OR(M19="worn",M19="damaged"),"Quarantine","Returned")),IF(C19="issue","Issued",IF(C19="transfer","Moved",IF(C19="write_off","Written off",IF(C19="unfilled","Unfilled",""))))))))</f>
      </c>
      <c r="B19" s="31"/>
      <c r="C19" s="35"/>
      <c r="D19" s="33"/>
      <c r="E19" s="31"/>
      <c r="F19" s="31"/>
      <c r="G19" s="37">
        <f>IF(F19="","",IF(ISNA(MATCH(F19,'Item master'!$A$2:$A$301,0)),"Not in Item master",IFERROR(INDEX('Item master'!$B$2:$B$301,MATCH(F19,'Item master'!$A$2:$A$301,0))&amp;"","")))</f>
      </c>
      <c r="H19" s="34"/>
      <c r="I19" s="31"/>
      <c r="J19" s="31"/>
      <c r="K19" s="33"/>
      <c r="L19" s="31"/>
      <c r="M19" s="35"/>
      <c r="N19" s="30"/>
      <c r="O19" s="30"/>
      <c r="P19" s="36"/>
      <c r="Q19" s="38">
        <f>IF(OR(C19&lt;&gt;"loan",E19=""),"",IF(ISNA(MATCH(E19,Units!$A$2:$A$501,0)),"",IF(INDEX(Units!$E$2:$E$501,MATCH(E19,Units!$A$2:$A$501,0))="","",IF(K19="","No due date",IF(INT(K19)&gt;INDEX(Units!$E$2:$E$501,MATCH(E19,Units!$A$2:$A$501,0)),"Past cal date","OK")))))</f>
      </c>
      <c r="R19" s="37">
        <f>IF(A19="Overdue",K19+ROW()/10000000,"")</f>
      </c>
    </row>
    <row r="20">
      <c r="A20" s="38">
        <f>IF(C20="","",IF(B20="","Needs ID",IF(OR(C20="loan",C20="send_out"),IF(COUNTIF($L$2:$L$1001,B20)&gt;0,"Closed",IF(K20="","Open",IF(K20&lt;NOW(),"Overdue","Open"))),IF(C20="return",IF(OR(L20="",COUNTIF($B$2:$B$1001,L20)=0),"No match",IF(OR(M20="worn",M20="damaged"),"Quarantine","Returned")),IF(C20="issue","Issued",IF(C20="transfer","Moved",IF(C20="write_off","Written off",IF(C20="unfilled","Unfilled",""))))))))</f>
      </c>
      <c r="B20" s="31"/>
      <c r="C20" s="35"/>
      <c r="D20" s="33"/>
      <c r="E20" s="31"/>
      <c r="F20" s="31"/>
      <c r="G20" s="37">
        <f>IF(F20="","",IF(ISNA(MATCH(F20,'Item master'!$A$2:$A$301,0)),"Not in Item master",IFERROR(INDEX('Item master'!$B$2:$B$301,MATCH(F20,'Item master'!$A$2:$A$301,0))&amp;"","")))</f>
      </c>
      <c r="H20" s="34"/>
      <c r="I20" s="31"/>
      <c r="J20" s="31"/>
      <c r="K20" s="33"/>
      <c r="L20" s="31"/>
      <c r="M20" s="35"/>
      <c r="N20" s="30"/>
      <c r="O20" s="30"/>
      <c r="P20" s="36"/>
      <c r="Q20" s="38">
        <f>IF(OR(C20&lt;&gt;"loan",E20=""),"",IF(ISNA(MATCH(E20,Units!$A$2:$A$501,0)),"",IF(INDEX(Units!$E$2:$E$501,MATCH(E20,Units!$A$2:$A$501,0))="","",IF(K20="","No due date",IF(INT(K20)&gt;INDEX(Units!$E$2:$E$501,MATCH(E20,Units!$A$2:$A$501,0)),"Past cal date","OK")))))</f>
      </c>
      <c r="R20" s="37">
        <f>IF(A20="Overdue",K20+ROW()/10000000,"")</f>
      </c>
    </row>
    <row r="21">
      <c r="A21" s="38">
        <f>IF(C21="","",IF(B21="","Needs ID",IF(OR(C21="loan",C21="send_out"),IF(COUNTIF($L$2:$L$1001,B21)&gt;0,"Closed",IF(K21="","Open",IF(K21&lt;NOW(),"Overdue","Open"))),IF(C21="return",IF(OR(L21="",COUNTIF($B$2:$B$1001,L21)=0),"No match",IF(OR(M21="worn",M21="damaged"),"Quarantine","Returned")),IF(C21="issue","Issued",IF(C21="transfer","Moved",IF(C21="write_off","Written off",IF(C21="unfilled","Unfilled",""))))))))</f>
      </c>
      <c r="B21" s="31"/>
      <c r="C21" s="35"/>
      <c r="D21" s="33"/>
      <c r="E21" s="31"/>
      <c r="F21" s="31"/>
      <c r="G21" s="37">
        <f>IF(F21="","",IF(ISNA(MATCH(F21,'Item master'!$A$2:$A$301,0)),"Not in Item master",IFERROR(INDEX('Item master'!$B$2:$B$301,MATCH(F21,'Item master'!$A$2:$A$301,0))&amp;"","")))</f>
      </c>
      <c r="H21" s="34"/>
      <c r="I21" s="31"/>
      <c r="J21" s="31"/>
      <c r="K21" s="33"/>
      <c r="L21" s="31"/>
      <c r="M21" s="35"/>
      <c r="N21" s="30"/>
      <c r="O21" s="30"/>
      <c r="P21" s="36"/>
      <c r="Q21" s="38">
        <f>IF(OR(C21&lt;&gt;"loan",E21=""),"",IF(ISNA(MATCH(E21,Units!$A$2:$A$501,0)),"",IF(INDEX(Units!$E$2:$E$501,MATCH(E21,Units!$A$2:$A$501,0))="","",IF(K21="","No due date",IF(INT(K21)&gt;INDEX(Units!$E$2:$E$501,MATCH(E21,Units!$A$2:$A$501,0)),"Past cal date","OK")))))</f>
      </c>
      <c r="R21" s="37">
        <f>IF(A21="Overdue",K21+ROW()/10000000,"")</f>
      </c>
    </row>
    <row r="22">
      <c r="A22" s="38">
        <f>IF(C22="","",IF(B22="","Needs ID",IF(OR(C22="loan",C22="send_out"),IF(COUNTIF($L$2:$L$1001,B22)&gt;0,"Closed",IF(K22="","Open",IF(K22&lt;NOW(),"Overdue","Open"))),IF(C22="return",IF(OR(L22="",COUNTIF($B$2:$B$1001,L22)=0),"No match",IF(OR(M22="worn",M22="damaged"),"Quarantine","Returned")),IF(C22="issue","Issued",IF(C22="transfer","Moved",IF(C22="write_off","Written off",IF(C22="unfilled","Unfilled",""))))))))</f>
      </c>
      <c r="B22" s="31"/>
      <c r="C22" s="35"/>
      <c r="D22" s="33"/>
      <c r="E22" s="31"/>
      <c r="F22" s="31"/>
      <c r="G22" s="37">
        <f>IF(F22="","",IF(ISNA(MATCH(F22,'Item master'!$A$2:$A$301,0)),"Not in Item master",IFERROR(INDEX('Item master'!$B$2:$B$301,MATCH(F22,'Item master'!$A$2:$A$301,0))&amp;"","")))</f>
      </c>
      <c r="H22" s="34"/>
      <c r="I22" s="31"/>
      <c r="J22" s="31"/>
      <c r="K22" s="33"/>
      <c r="L22" s="31"/>
      <c r="M22" s="35"/>
      <c r="N22" s="30"/>
      <c r="O22" s="30"/>
      <c r="P22" s="36"/>
      <c r="Q22" s="38">
        <f>IF(OR(C22&lt;&gt;"loan",E22=""),"",IF(ISNA(MATCH(E22,Units!$A$2:$A$501,0)),"",IF(INDEX(Units!$E$2:$E$501,MATCH(E22,Units!$A$2:$A$501,0))="","",IF(K22="","No due date",IF(INT(K22)&gt;INDEX(Units!$E$2:$E$501,MATCH(E22,Units!$A$2:$A$501,0)),"Past cal date","OK")))))</f>
      </c>
      <c r="R22" s="37">
        <f>IF(A22="Overdue",K22+ROW()/10000000,"")</f>
      </c>
    </row>
    <row r="23">
      <c r="A23" s="38">
        <f>IF(C23="","",IF(B23="","Needs ID",IF(OR(C23="loan",C23="send_out"),IF(COUNTIF($L$2:$L$1001,B23)&gt;0,"Closed",IF(K23="","Open",IF(K23&lt;NOW(),"Overdue","Open"))),IF(C23="return",IF(OR(L23="",COUNTIF($B$2:$B$1001,L23)=0),"No match",IF(OR(M23="worn",M23="damaged"),"Quarantine","Returned")),IF(C23="issue","Issued",IF(C23="transfer","Moved",IF(C23="write_off","Written off",IF(C23="unfilled","Unfilled",""))))))))</f>
      </c>
      <c r="B23" s="31"/>
      <c r="C23" s="35"/>
      <c r="D23" s="33"/>
      <c r="E23" s="31"/>
      <c r="F23" s="31"/>
      <c r="G23" s="37">
        <f>IF(F23="","",IF(ISNA(MATCH(F23,'Item master'!$A$2:$A$301,0)),"Not in Item master",IFERROR(INDEX('Item master'!$B$2:$B$301,MATCH(F23,'Item master'!$A$2:$A$301,0))&amp;"","")))</f>
      </c>
      <c r="H23" s="34"/>
      <c r="I23" s="31"/>
      <c r="J23" s="31"/>
      <c r="K23" s="33"/>
      <c r="L23" s="31"/>
      <c r="M23" s="35"/>
      <c r="N23" s="30"/>
      <c r="O23" s="30"/>
      <c r="P23" s="36"/>
      <c r="Q23" s="38">
        <f>IF(OR(C23&lt;&gt;"loan",E23=""),"",IF(ISNA(MATCH(E23,Units!$A$2:$A$501,0)),"",IF(INDEX(Units!$E$2:$E$501,MATCH(E23,Units!$A$2:$A$501,0))="","",IF(K23="","No due date",IF(INT(K23)&gt;INDEX(Units!$E$2:$E$501,MATCH(E23,Units!$A$2:$A$501,0)),"Past cal date","OK")))))</f>
      </c>
      <c r="R23" s="37">
        <f>IF(A23="Overdue",K23+ROW()/10000000,"")</f>
      </c>
    </row>
    <row r="24">
      <c r="A24" s="38">
        <f>IF(C24="","",IF(B24="","Needs ID",IF(OR(C24="loan",C24="send_out"),IF(COUNTIF($L$2:$L$1001,B24)&gt;0,"Closed",IF(K24="","Open",IF(K24&lt;NOW(),"Overdue","Open"))),IF(C24="return",IF(OR(L24="",COUNTIF($B$2:$B$1001,L24)=0),"No match",IF(OR(M24="worn",M24="damaged"),"Quarantine","Returned")),IF(C24="issue","Issued",IF(C24="transfer","Moved",IF(C24="write_off","Written off",IF(C24="unfilled","Unfilled",""))))))))</f>
      </c>
      <c r="B24" s="31"/>
      <c r="C24" s="35"/>
      <c r="D24" s="33"/>
      <c r="E24" s="31"/>
      <c r="F24" s="31"/>
      <c r="G24" s="37">
        <f>IF(F24="","",IF(ISNA(MATCH(F24,'Item master'!$A$2:$A$301,0)),"Not in Item master",IFERROR(INDEX('Item master'!$B$2:$B$301,MATCH(F24,'Item master'!$A$2:$A$301,0))&amp;"","")))</f>
      </c>
      <c r="H24" s="34"/>
      <c r="I24" s="31"/>
      <c r="J24" s="31"/>
      <c r="K24" s="33"/>
      <c r="L24" s="31"/>
      <c r="M24" s="35"/>
      <c r="N24" s="30"/>
      <c r="O24" s="30"/>
      <c r="P24" s="36"/>
      <c r="Q24" s="38">
        <f>IF(OR(C24&lt;&gt;"loan",E24=""),"",IF(ISNA(MATCH(E24,Units!$A$2:$A$501,0)),"",IF(INDEX(Units!$E$2:$E$501,MATCH(E24,Units!$A$2:$A$501,0))="","",IF(K24="","No due date",IF(INT(K24)&gt;INDEX(Units!$E$2:$E$501,MATCH(E24,Units!$A$2:$A$501,0)),"Past cal date","OK")))))</f>
      </c>
      <c r="R24" s="37">
        <f>IF(A24="Overdue",K24+ROW()/10000000,"")</f>
      </c>
    </row>
    <row r="25">
      <c r="A25" s="38">
        <f>IF(C25="","",IF(B25="","Needs ID",IF(OR(C25="loan",C25="send_out"),IF(COUNTIF($L$2:$L$1001,B25)&gt;0,"Closed",IF(K25="","Open",IF(K25&lt;NOW(),"Overdue","Open"))),IF(C25="return",IF(OR(L25="",COUNTIF($B$2:$B$1001,L25)=0),"No match",IF(OR(M25="worn",M25="damaged"),"Quarantine","Returned")),IF(C25="issue","Issued",IF(C25="transfer","Moved",IF(C25="write_off","Written off",IF(C25="unfilled","Unfilled",""))))))))</f>
      </c>
      <c r="B25" s="31"/>
      <c r="C25" s="35"/>
      <c r="D25" s="33"/>
      <c r="E25" s="31"/>
      <c r="F25" s="31"/>
      <c r="G25" s="37">
        <f>IF(F25="","",IF(ISNA(MATCH(F25,'Item master'!$A$2:$A$301,0)),"Not in Item master",IFERROR(INDEX('Item master'!$B$2:$B$301,MATCH(F25,'Item master'!$A$2:$A$301,0))&amp;"","")))</f>
      </c>
      <c r="H25" s="34"/>
      <c r="I25" s="31"/>
      <c r="J25" s="31"/>
      <c r="K25" s="33"/>
      <c r="L25" s="31"/>
      <c r="M25" s="35"/>
      <c r="N25" s="30"/>
      <c r="O25" s="30"/>
      <c r="P25" s="36"/>
      <c r="Q25" s="38">
        <f>IF(OR(C25&lt;&gt;"loan",E25=""),"",IF(ISNA(MATCH(E25,Units!$A$2:$A$501,0)),"",IF(INDEX(Units!$E$2:$E$501,MATCH(E25,Units!$A$2:$A$501,0))="","",IF(K25="","No due date",IF(INT(K25)&gt;INDEX(Units!$E$2:$E$501,MATCH(E25,Units!$A$2:$A$501,0)),"Past cal date","OK")))))</f>
      </c>
      <c r="R25" s="37">
        <f>IF(A25="Overdue",K25+ROW()/10000000,"")</f>
      </c>
    </row>
    <row r="26">
      <c r="A26" s="38">
        <f>IF(C26="","",IF(B26="","Needs ID",IF(OR(C26="loan",C26="send_out"),IF(COUNTIF($L$2:$L$1001,B26)&gt;0,"Closed",IF(K26="","Open",IF(K26&lt;NOW(),"Overdue","Open"))),IF(C26="return",IF(OR(L26="",COUNTIF($B$2:$B$1001,L26)=0),"No match",IF(OR(M26="worn",M26="damaged"),"Quarantine","Returned")),IF(C26="issue","Issued",IF(C26="transfer","Moved",IF(C26="write_off","Written off",IF(C26="unfilled","Unfilled",""))))))))</f>
      </c>
      <c r="B26" s="31"/>
      <c r="C26" s="35"/>
      <c r="D26" s="33"/>
      <c r="E26" s="31"/>
      <c r="F26" s="31"/>
      <c r="G26" s="37">
        <f>IF(F26="","",IF(ISNA(MATCH(F26,'Item master'!$A$2:$A$301,0)),"Not in Item master",IFERROR(INDEX('Item master'!$B$2:$B$301,MATCH(F26,'Item master'!$A$2:$A$301,0))&amp;"","")))</f>
      </c>
      <c r="H26" s="34"/>
      <c r="I26" s="31"/>
      <c r="J26" s="31"/>
      <c r="K26" s="33"/>
      <c r="L26" s="31"/>
      <c r="M26" s="35"/>
      <c r="N26" s="30"/>
      <c r="O26" s="30"/>
      <c r="P26" s="36"/>
      <c r="Q26" s="38">
        <f>IF(OR(C26&lt;&gt;"loan",E26=""),"",IF(ISNA(MATCH(E26,Units!$A$2:$A$501,0)),"",IF(INDEX(Units!$E$2:$E$501,MATCH(E26,Units!$A$2:$A$501,0))="","",IF(K26="","No due date",IF(INT(K26)&gt;INDEX(Units!$E$2:$E$501,MATCH(E26,Units!$A$2:$A$501,0)),"Past cal date","OK")))))</f>
      </c>
      <c r="R26" s="37">
        <f>IF(A26="Overdue",K26+ROW()/10000000,"")</f>
      </c>
    </row>
    <row r="27">
      <c r="A27" s="38">
        <f>IF(C27="","",IF(B27="","Needs ID",IF(OR(C27="loan",C27="send_out"),IF(COUNTIF($L$2:$L$1001,B27)&gt;0,"Closed",IF(K27="","Open",IF(K27&lt;NOW(),"Overdue","Open"))),IF(C27="return",IF(OR(L27="",COUNTIF($B$2:$B$1001,L27)=0),"No match",IF(OR(M27="worn",M27="damaged"),"Quarantine","Returned")),IF(C27="issue","Issued",IF(C27="transfer","Moved",IF(C27="write_off","Written off",IF(C27="unfilled","Unfilled",""))))))))</f>
      </c>
      <c r="B27" s="31"/>
      <c r="C27" s="35"/>
      <c r="D27" s="33"/>
      <c r="E27" s="31"/>
      <c r="F27" s="31"/>
      <c r="G27" s="37">
        <f>IF(F27="","",IF(ISNA(MATCH(F27,'Item master'!$A$2:$A$301,0)),"Not in Item master",IFERROR(INDEX('Item master'!$B$2:$B$301,MATCH(F27,'Item master'!$A$2:$A$301,0))&amp;"","")))</f>
      </c>
      <c r="H27" s="34"/>
      <c r="I27" s="31"/>
      <c r="J27" s="31"/>
      <c r="K27" s="33"/>
      <c r="L27" s="31"/>
      <c r="M27" s="35"/>
      <c r="N27" s="30"/>
      <c r="O27" s="30"/>
      <c r="P27" s="36"/>
      <c r="Q27" s="38">
        <f>IF(OR(C27&lt;&gt;"loan",E27=""),"",IF(ISNA(MATCH(E27,Units!$A$2:$A$501,0)),"",IF(INDEX(Units!$E$2:$E$501,MATCH(E27,Units!$A$2:$A$501,0))="","",IF(K27="","No due date",IF(INT(K27)&gt;INDEX(Units!$E$2:$E$501,MATCH(E27,Units!$A$2:$A$501,0)),"Past cal date","OK")))))</f>
      </c>
      <c r="R27" s="37">
        <f>IF(A27="Overdue",K27+ROW()/10000000,"")</f>
      </c>
    </row>
    <row r="28">
      <c r="A28" s="38">
        <f>IF(C28="","",IF(B28="","Needs ID",IF(OR(C28="loan",C28="send_out"),IF(COUNTIF($L$2:$L$1001,B28)&gt;0,"Closed",IF(K28="","Open",IF(K28&lt;NOW(),"Overdue","Open"))),IF(C28="return",IF(OR(L28="",COUNTIF($B$2:$B$1001,L28)=0),"No match",IF(OR(M28="worn",M28="damaged"),"Quarantine","Returned")),IF(C28="issue","Issued",IF(C28="transfer","Moved",IF(C28="write_off","Written off",IF(C28="unfilled","Unfilled",""))))))))</f>
      </c>
      <c r="B28" s="31"/>
      <c r="C28" s="35"/>
      <c r="D28" s="33"/>
      <c r="E28" s="31"/>
      <c r="F28" s="31"/>
      <c r="G28" s="37">
        <f>IF(F28="","",IF(ISNA(MATCH(F28,'Item master'!$A$2:$A$301,0)),"Not in Item master",IFERROR(INDEX('Item master'!$B$2:$B$301,MATCH(F28,'Item master'!$A$2:$A$301,0))&amp;"","")))</f>
      </c>
      <c r="H28" s="34"/>
      <c r="I28" s="31"/>
      <c r="J28" s="31"/>
      <c r="K28" s="33"/>
      <c r="L28" s="31"/>
      <c r="M28" s="35"/>
      <c r="N28" s="30"/>
      <c r="O28" s="30"/>
      <c r="P28" s="36"/>
      <c r="Q28" s="38">
        <f>IF(OR(C28&lt;&gt;"loan",E28=""),"",IF(ISNA(MATCH(E28,Units!$A$2:$A$501,0)),"",IF(INDEX(Units!$E$2:$E$501,MATCH(E28,Units!$A$2:$A$501,0))="","",IF(K28="","No due date",IF(INT(K28)&gt;INDEX(Units!$E$2:$E$501,MATCH(E28,Units!$A$2:$A$501,0)),"Past cal date","OK")))))</f>
      </c>
      <c r="R28" s="37">
        <f>IF(A28="Overdue",K28+ROW()/10000000,"")</f>
      </c>
    </row>
    <row r="29">
      <c r="A29" s="38">
        <f>IF(C29="","",IF(B29="","Needs ID",IF(OR(C29="loan",C29="send_out"),IF(COUNTIF($L$2:$L$1001,B29)&gt;0,"Closed",IF(K29="","Open",IF(K29&lt;NOW(),"Overdue","Open"))),IF(C29="return",IF(OR(L29="",COUNTIF($B$2:$B$1001,L29)=0),"No match",IF(OR(M29="worn",M29="damaged"),"Quarantine","Returned")),IF(C29="issue","Issued",IF(C29="transfer","Moved",IF(C29="write_off","Written off",IF(C29="unfilled","Unfilled",""))))))))</f>
      </c>
      <c r="B29" s="31"/>
      <c r="C29" s="35"/>
      <c r="D29" s="33"/>
      <c r="E29" s="31"/>
      <c r="F29" s="31"/>
      <c r="G29" s="37">
        <f>IF(F29="","",IF(ISNA(MATCH(F29,'Item master'!$A$2:$A$301,0)),"Not in Item master",IFERROR(INDEX('Item master'!$B$2:$B$301,MATCH(F29,'Item master'!$A$2:$A$301,0))&amp;"","")))</f>
      </c>
      <c r="H29" s="34"/>
      <c r="I29" s="31"/>
      <c r="J29" s="31"/>
      <c r="K29" s="33"/>
      <c r="L29" s="31"/>
      <c r="M29" s="35"/>
      <c r="N29" s="30"/>
      <c r="O29" s="30"/>
      <c r="P29" s="36"/>
      <c r="Q29" s="38">
        <f>IF(OR(C29&lt;&gt;"loan",E29=""),"",IF(ISNA(MATCH(E29,Units!$A$2:$A$501,0)),"",IF(INDEX(Units!$E$2:$E$501,MATCH(E29,Units!$A$2:$A$501,0))="","",IF(K29="","No due date",IF(INT(K29)&gt;INDEX(Units!$E$2:$E$501,MATCH(E29,Units!$A$2:$A$501,0)),"Past cal date","OK")))))</f>
      </c>
      <c r="R29" s="37">
        <f>IF(A29="Overdue",K29+ROW()/10000000,"")</f>
      </c>
    </row>
    <row r="30">
      <c r="A30" s="38">
        <f>IF(C30="","",IF(B30="","Needs ID",IF(OR(C30="loan",C30="send_out"),IF(COUNTIF($L$2:$L$1001,B30)&gt;0,"Closed",IF(K30="","Open",IF(K30&lt;NOW(),"Overdue","Open"))),IF(C30="return",IF(OR(L30="",COUNTIF($B$2:$B$1001,L30)=0),"No match",IF(OR(M30="worn",M30="damaged"),"Quarantine","Returned")),IF(C30="issue","Issued",IF(C30="transfer","Moved",IF(C30="write_off","Written off",IF(C30="unfilled","Unfilled",""))))))))</f>
      </c>
      <c r="B30" s="31"/>
      <c r="C30" s="35"/>
      <c r="D30" s="33"/>
      <c r="E30" s="31"/>
      <c r="F30" s="31"/>
      <c r="G30" s="37">
        <f>IF(F30="","",IF(ISNA(MATCH(F30,'Item master'!$A$2:$A$301,0)),"Not in Item master",IFERROR(INDEX('Item master'!$B$2:$B$301,MATCH(F30,'Item master'!$A$2:$A$301,0))&amp;"","")))</f>
      </c>
      <c r="H30" s="34"/>
      <c r="I30" s="31"/>
      <c r="J30" s="31"/>
      <c r="K30" s="33"/>
      <c r="L30" s="31"/>
      <c r="M30" s="35"/>
      <c r="N30" s="30"/>
      <c r="O30" s="30"/>
      <c r="P30" s="36"/>
      <c r="Q30" s="38">
        <f>IF(OR(C30&lt;&gt;"loan",E30=""),"",IF(ISNA(MATCH(E30,Units!$A$2:$A$501,0)),"",IF(INDEX(Units!$E$2:$E$501,MATCH(E30,Units!$A$2:$A$501,0))="","",IF(K30="","No due date",IF(INT(K30)&gt;INDEX(Units!$E$2:$E$501,MATCH(E30,Units!$A$2:$A$501,0)),"Past cal date","OK")))))</f>
      </c>
      <c r="R30" s="37">
        <f>IF(A30="Overdue",K30+ROW()/10000000,"")</f>
      </c>
    </row>
    <row r="31">
      <c r="A31" s="38">
        <f>IF(C31="","",IF(B31="","Needs ID",IF(OR(C31="loan",C31="send_out"),IF(COUNTIF($L$2:$L$1001,B31)&gt;0,"Closed",IF(K31="","Open",IF(K31&lt;NOW(),"Overdue","Open"))),IF(C31="return",IF(OR(L31="",COUNTIF($B$2:$B$1001,L31)=0),"No match",IF(OR(M31="worn",M31="damaged"),"Quarantine","Returned")),IF(C31="issue","Issued",IF(C31="transfer","Moved",IF(C31="write_off","Written off",IF(C31="unfilled","Unfilled",""))))))))</f>
      </c>
      <c r="B31" s="31"/>
      <c r="C31" s="35"/>
      <c r="D31" s="33"/>
      <c r="E31" s="31"/>
      <c r="F31" s="31"/>
      <c r="G31" s="37">
        <f>IF(F31="","",IF(ISNA(MATCH(F31,'Item master'!$A$2:$A$301,0)),"Not in Item master",IFERROR(INDEX('Item master'!$B$2:$B$301,MATCH(F31,'Item master'!$A$2:$A$301,0))&amp;"","")))</f>
      </c>
      <c r="H31" s="34"/>
      <c r="I31" s="31"/>
      <c r="J31" s="31"/>
      <c r="K31" s="33"/>
      <c r="L31" s="31"/>
      <c r="M31" s="35"/>
      <c r="N31" s="30"/>
      <c r="O31" s="30"/>
      <c r="P31" s="36"/>
      <c r="Q31" s="38">
        <f>IF(OR(C31&lt;&gt;"loan",E31=""),"",IF(ISNA(MATCH(E31,Units!$A$2:$A$501,0)),"",IF(INDEX(Units!$E$2:$E$501,MATCH(E31,Units!$A$2:$A$501,0))="","",IF(K31="","No due date",IF(INT(K31)&gt;INDEX(Units!$E$2:$E$501,MATCH(E31,Units!$A$2:$A$501,0)),"Past cal date","OK")))))</f>
      </c>
      <c r="R31" s="37">
        <f>IF(A31="Overdue",K31+ROW()/10000000,"")</f>
      </c>
    </row>
    <row r="32">
      <c r="A32" s="38">
        <f>IF(C32="","",IF(B32="","Needs ID",IF(OR(C32="loan",C32="send_out"),IF(COUNTIF($L$2:$L$1001,B32)&gt;0,"Closed",IF(K32="","Open",IF(K32&lt;NOW(),"Overdue","Open"))),IF(C32="return",IF(OR(L32="",COUNTIF($B$2:$B$1001,L32)=0),"No match",IF(OR(M32="worn",M32="damaged"),"Quarantine","Returned")),IF(C32="issue","Issued",IF(C32="transfer","Moved",IF(C32="write_off","Written off",IF(C32="unfilled","Unfilled",""))))))))</f>
      </c>
      <c r="B32" s="31"/>
      <c r="C32" s="35"/>
      <c r="D32" s="33"/>
      <c r="E32" s="31"/>
      <c r="F32" s="31"/>
      <c r="G32" s="37">
        <f>IF(F32="","",IF(ISNA(MATCH(F32,'Item master'!$A$2:$A$301,0)),"Not in Item master",IFERROR(INDEX('Item master'!$B$2:$B$301,MATCH(F32,'Item master'!$A$2:$A$301,0))&amp;"","")))</f>
      </c>
      <c r="H32" s="34"/>
      <c r="I32" s="31"/>
      <c r="J32" s="31"/>
      <c r="K32" s="33"/>
      <c r="L32" s="31"/>
      <c r="M32" s="35"/>
      <c r="N32" s="30"/>
      <c r="O32" s="30"/>
      <c r="P32" s="36"/>
      <c r="Q32" s="38">
        <f>IF(OR(C32&lt;&gt;"loan",E32=""),"",IF(ISNA(MATCH(E32,Units!$A$2:$A$501,0)),"",IF(INDEX(Units!$E$2:$E$501,MATCH(E32,Units!$A$2:$A$501,0))="","",IF(K32="","No due date",IF(INT(K32)&gt;INDEX(Units!$E$2:$E$501,MATCH(E32,Units!$A$2:$A$501,0)),"Past cal date","OK")))))</f>
      </c>
      <c r="R32" s="37">
        <f>IF(A32="Overdue",K32+ROW()/10000000,"")</f>
      </c>
    </row>
    <row r="33">
      <c r="A33" s="38">
        <f>IF(C33="","",IF(B33="","Needs ID",IF(OR(C33="loan",C33="send_out"),IF(COUNTIF($L$2:$L$1001,B33)&gt;0,"Closed",IF(K33="","Open",IF(K33&lt;NOW(),"Overdue","Open"))),IF(C33="return",IF(OR(L33="",COUNTIF($B$2:$B$1001,L33)=0),"No match",IF(OR(M33="worn",M33="damaged"),"Quarantine","Returned")),IF(C33="issue","Issued",IF(C33="transfer","Moved",IF(C33="write_off","Written off",IF(C33="unfilled","Unfilled",""))))))))</f>
      </c>
      <c r="B33" s="31"/>
      <c r="C33" s="35"/>
      <c r="D33" s="33"/>
      <c r="E33" s="31"/>
      <c r="F33" s="31"/>
      <c r="G33" s="37">
        <f>IF(F33="","",IF(ISNA(MATCH(F33,'Item master'!$A$2:$A$301,0)),"Not in Item master",IFERROR(INDEX('Item master'!$B$2:$B$301,MATCH(F33,'Item master'!$A$2:$A$301,0))&amp;"","")))</f>
      </c>
      <c r="H33" s="34"/>
      <c r="I33" s="31"/>
      <c r="J33" s="31"/>
      <c r="K33" s="33"/>
      <c r="L33" s="31"/>
      <c r="M33" s="35"/>
      <c r="N33" s="30"/>
      <c r="O33" s="30"/>
      <c r="P33" s="36"/>
      <c r="Q33" s="38">
        <f>IF(OR(C33&lt;&gt;"loan",E33=""),"",IF(ISNA(MATCH(E33,Units!$A$2:$A$501,0)),"",IF(INDEX(Units!$E$2:$E$501,MATCH(E33,Units!$A$2:$A$501,0))="","",IF(K33="","No due date",IF(INT(K33)&gt;INDEX(Units!$E$2:$E$501,MATCH(E33,Units!$A$2:$A$501,0)),"Past cal date","OK")))))</f>
      </c>
      <c r="R33" s="37">
        <f>IF(A33="Overdue",K33+ROW()/10000000,"")</f>
      </c>
    </row>
    <row r="34">
      <c r="A34" s="38">
        <f>IF(C34="","",IF(B34="","Needs ID",IF(OR(C34="loan",C34="send_out"),IF(COUNTIF($L$2:$L$1001,B34)&gt;0,"Closed",IF(K34="","Open",IF(K34&lt;NOW(),"Overdue","Open"))),IF(C34="return",IF(OR(L34="",COUNTIF($B$2:$B$1001,L34)=0),"No match",IF(OR(M34="worn",M34="damaged"),"Quarantine","Returned")),IF(C34="issue","Issued",IF(C34="transfer","Moved",IF(C34="write_off","Written off",IF(C34="unfilled","Unfilled",""))))))))</f>
      </c>
      <c r="B34" s="31"/>
      <c r="C34" s="35"/>
      <c r="D34" s="33"/>
      <c r="E34" s="31"/>
      <c r="F34" s="31"/>
      <c r="G34" s="37">
        <f>IF(F34="","",IF(ISNA(MATCH(F34,'Item master'!$A$2:$A$301,0)),"Not in Item master",IFERROR(INDEX('Item master'!$B$2:$B$301,MATCH(F34,'Item master'!$A$2:$A$301,0))&amp;"","")))</f>
      </c>
      <c r="H34" s="34"/>
      <c r="I34" s="31"/>
      <c r="J34" s="31"/>
      <c r="K34" s="33"/>
      <c r="L34" s="31"/>
      <c r="M34" s="35"/>
      <c r="N34" s="30"/>
      <c r="O34" s="30"/>
      <c r="P34" s="36"/>
      <c r="Q34" s="38">
        <f>IF(OR(C34&lt;&gt;"loan",E34=""),"",IF(ISNA(MATCH(E34,Units!$A$2:$A$501,0)),"",IF(INDEX(Units!$E$2:$E$501,MATCH(E34,Units!$A$2:$A$501,0))="","",IF(K34="","No due date",IF(INT(K34)&gt;INDEX(Units!$E$2:$E$501,MATCH(E34,Units!$A$2:$A$501,0)),"Past cal date","OK")))))</f>
      </c>
      <c r="R34" s="37">
        <f>IF(A34="Overdue",K34+ROW()/10000000,"")</f>
      </c>
    </row>
    <row r="35">
      <c r="A35" s="38">
        <f>IF(C35="","",IF(B35="","Needs ID",IF(OR(C35="loan",C35="send_out"),IF(COUNTIF($L$2:$L$1001,B35)&gt;0,"Closed",IF(K35="","Open",IF(K35&lt;NOW(),"Overdue","Open"))),IF(C35="return",IF(OR(L35="",COUNTIF($B$2:$B$1001,L35)=0),"No match",IF(OR(M35="worn",M35="damaged"),"Quarantine","Returned")),IF(C35="issue","Issued",IF(C35="transfer","Moved",IF(C35="write_off","Written off",IF(C35="unfilled","Unfilled",""))))))))</f>
      </c>
      <c r="B35" s="31"/>
      <c r="C35" s="35"/>
      <c r="D35" s="33"/>
      <c r="E35" s="31"/>
      <c r="F35" s="31"/>
      <c r="G35" s="37">
        <f>IF(F35="","",IF(ISNA(MATCH(F35,'Item master'!$A$2:$A$301,0)),"Not in Item master",IFERROR(INDEX('Item master'!$B$2:$B$301,MATCH(F35,'Item master'!$A$2:$A$301,0))&amp;"","")))</f>
      </c>
      <c r="H35" s="34"/>
      <c r="I35" s="31"/>
      <c r="J35" s="31"/>
      <c r="K35" s="33"/>
      <c r="L35" s="31"/>
      <c r="M35" s="35"/>
      <c r="N35" s="30"/>
      <c r="O35" s="30"/>
      <c r="P35" s="36"/>
      <c r="Q35" s="38">
        <f>IF(OR(C35&lt;&gt;"loan",E35=""),"",IF(ISNA(MATCH(E35,Units!$A$2:$A$501,0)),"",IF(INDEX(Units!$E$2:$E$501,MATCH(E35,Units!$A$2:$A$501,0))="","",IF(K35="","No due date",IF(INT(K35)&gt;INDEX(Units!$E$2:$E$501,MATCH(E35,Units!$A$2:$A$501,0)),"Past cal date","OK")))))</f>
      </c>
      <c r="R35" s="37">
        <f>IF(A35="Overdue",K35+ROW()/10000000,"")</f>
      </c>
    </row>
    <row r="36">
      <c r="A36" s="38">
        <f>IF(C36="","",IF(B36="","Needs ID",IF(OR(C36="loan",C36="send_out"),IF(COUNTIF($L$2:$L$1001,B36)&gt;0,"Closed",IF(K36="","Open",IF(K36&lt;NOW(),"Overdue","Open"))),IF(C36="return",IF(OR(L36="",COUNTIF($B$2:$B$1001,L36)=0),"No match",IF(OR(M36="worn",M36="damaged"),"Quarantine","Returned")),IF(C36="issue","Issued",IF(C36="transfer","Moved",IF(C36="write_off","Written off",IF(C36="unfilled","Unfilled",""))))))))</f>
      </c>
      <c r="B36" s="31"/>
      <c r="C36" s="35"/>
      <c r="D36" s="33"/>
      <c r="E36" s="31"/>
      <c r="F36" s="31"/>
      <c r="G36" s="37">
        <f>IF(F36="","",IF(ISNA(MATCH(F36,'Item master'!$A$2:$A$301,0)),"Not in Item master",IFERROR(INDEX('Item master'!$B$2:$B$301,MATCH(F36,'Item master'!$A$2:$A$301,0))&amp;"","")))</f>
      </c>
      <c r="H36" s="34"/>
      <c r="I36" s="31"/>
      <c r="J36" s="31"/>
      <c r="K36" s="33"/>
      <c r="L36" s="31"/>
      <c r="M36" s="35"/>
      <c r="N36" s="30"/>
      <c r="O36" s="30"/>
      <c r="P36" s="36"/>
      <c r="Q36" s="38">
        <f>IF(OR(C36&lt;&gt;"loan",E36=""),"",IF(ISNA(MATCH(E36,Units!$A$2:$A$501,0)),"",IF(INDEX(Units!$E$2:$E$501,MATCH(E36,Units!$A$2:$A$501,0))="","",IF(K36="","No due date",IF(INT(K36)&gt;INDEX(Units!$E$2:$E$501,MATCH(E36,Units!$A$2:$A$501,0)),"Past cal date","OK")))))</f>
      </c>
      <c r="R36" s="37">
        <f>IF(A36="Overdue",K36+ROW()/10000000,"")</f>
      </c>
    </row>
    <row r="37">
      <c r="A37" s="38">
        <f>IF(C37="","",IF(B37="","Needs ID",IF(OR(C37="loan",C37="send_out"),IF(COUNTIF($L$2:$L$1001,B37)&gt;0,"Closed",IF(K37="","Open",IF(K37&lt;NOW(),"Overdue","Open"))),IF(C37="return",IF(OR(L37="",COUNTIF($B$2:$B$1001,L37)=0),"No match",IF(OR(M37="worn",M37="damaged"),"Quarantine","Returned")),IF(C37="issue","Issued",IF(C37="transfer","Moved",IF(C37="write_off","Written off",IF(C37="unfilled","Unfilled",""))))))))</f>
      </c>
      <c r="B37" s="31"/>
      <c r="C37" s="35"/>
      <c r="D37" s="33"/>
      <c r="E37" s="31"/>
      <c r="F37" s="31"/>
      <c r="G37" s="37">
        <f>IF(F37="","",IF(ISNA(MATCH(F37,'Item master'!$A$2:$A$301,0)),"Not in Item master",IFERROR(INDEX('Item master'!$B$2:$B$301,MATCH(F37,'Item master'!$A$2:$A$301,0))&amp;"","")))</f>
      </c>
      <c r="H37" s="34"/>
      <c r="I37" s="31"/>
      <c r="J37" s="31"/>
      <c r="K37" s="33"/>
      <c r="L37" s="31"/>
      <c r="M37" s="35"/>
      <c r="N37" s="30"/>
      <c r="O37" s="30"/>
      <c r="P37" s="36"/>
      <c r="Q37" s="38">
        <f>IF(OR(C37&lt;&gt;"loan",E37=""),"",IF(ISNA(MATCH(E37,Units!$A$2:$A$501,0)),"",IF(INDEX(Units!$E$2:$E$501,MATCH(E37,Units!$A$2:$A$501,0))="","",IF(K37="","No due date",IF(INT(K37)&gt;INDEX(Units!$E$2:$E$501,MATCH(E37,Units!$A$2:$A$501,0)),"Past cal date","OK")))))</f>
      </c>
      <c r="R37" s="37">
        <f>IF(A37="Overdue",K37+ROW()/10000000,"")</f>
      </c>
    </row>
    <row r="38">
      <c r="A38" s="38">
        <f>IF(C38="","",IF(B38="","Needs ID",IF(OR(C38="loan",C38="send_out"),IF(COUNTIF($L$2:$L$1001,B38)&gt;0,"Closed",IF(K38="","Open",IF(K38&lt;NOW(),"Overdue","Open"))),IF(C38="return",IF(OR(L38="",COUNTIF($B$2:$B$1001,L38)=0),"No match",IF(OR(M38="worn",M38="damaged"),"Quarantine","Returned")),IF(C38="issue","Issued",IF(C38="transfer","Moved",IF(C38="write_off","Written off",IF(C38="unfilled","Unfilled",""))))))))</f>
      </c>
      <c r="B38" s="31"/>
      <c r="C38" s="35"/>
      <c r="D38" s="33"/>
      <c r="E38" s="31"/>
      <c r="F38" s="31"/>
      <c r="G38" s="37">
        <f>IF(F38="","",IF(ISNA(MATCH(F38,'Item master'!$A$2:$A$301,0)),"Not in Item master",IFERROR(INDEX('Item master'!$B$2:$B$301,MATCH(F38,'Item master'!$A$2:$A$301,0))&amp;"","")))</f>
      </c>
      <c r="H38" s="34"/>
      <c r="I38" s="31"/>
      <c r="J38" s="31"/>
      <c r="K38" s="33"/>
      <c r="L38" s="31"/>
      <c r="M38" s="35"/>
      <c r="N38" s="30"/>
      <c r="O38" s="30"/>
      <c r="P38" s="36"/>
      <c r="Q38" s="38">
        <f>IF(OR(C38&lt;&gt;"loan",E38=""),"",IF(ISNA(MATCH(E38,Units!$A$2:$A$501,0)),"",IF(INDEX(Units!$E$2:$E$501,MATCH(E38,Units!$A$2:$A$501,0))="","",IF(K38="","No due date",IF(INT(K38)&gt;INDEX(Units!$E$2:$E$501,MATCH(E38,Units!$A$2:$A$501,0)),"Past cal date","OK")))))</f>
      </c>
      <c r="R38" s="37">
        <f>IF(A38="Overdue",K38+ROW()/10000000,"")</f>
      </c>
    </row>
    <row r="39">
      <c r="A39" s="38">
        <f>IF(C39="","",IF(B39="","Needs ID",IF(OR(C39="loan",C39="send_out"),IF(COUNTIF($L$2:$L$1001,B39)&gt;0,"Closed",IF(K39="","Open",IF(K39&lt;NOW(),"Overdue","Open"))),IF(C39="return",IF(OR(L39="",COUNTIF($B$2:$B$1001,L39)=0),"No match",IF(OR(M39="worn",M39="damaged"),"Quarantine","Returned")),IF(C39="issue","Issued",IF(C39="transfer","Moved",IF(C39="write_off","Written off",IF(C39="unfilled","Unfilled",""))))))))</f>
      </c>
      <c r="B39" s="31"/>
      <c r="C39" s="35"/>
      <c r="D39" s="33"/>
      <c r="E39" s="31"/>
      <c r="F39" s="31"/>
      <c r="G39" s="37">
        <f>IF(F39="","",IF(ISNA(MATCH(F39,'Item master'!$A$2:$A$301,0)),"Not in Item master",IFERROR(INDEX('Item master'!$B$2:$B$301,MATCH(F39,'Item master'!$A$2:$A$301,0))&amp;"","")))</f>
      </c>
      <c r="H39" s="34"/>
      <c r="I39" s="31"/>
      <c r="J39" s="31"/>
      <c r="K39" s="33"/>
      <c r="L39" s="31"/>
      <c r="M39" s="35"/>
      <c r="N39" s="30"/>
      <c r="O39" s="30"/>
      <c r="P39" s="36"/>
      <c r="Q39" s="38">
        <f>IF(OR(C39&lt;&gt;"loan",E39=""),"",IF(ISNA(MATCH(E39,Units!$A$2:$A$501,0)),"",IF(INDEX(Units!$E$2:$E$501,MATCH(E39,Units!$A$2:$A$501,0))="","",IF(K39="","No due date",IF(INT(K39)&gt;INDEX(Units!$E$2:$E$501,MATCH(E39,Units!$A$2:$A$501,0)),"Past cal date","OK")))))</f>
      </c>
      <c r="R39" s="37">
        <f>IF(A39="Overdue",K39+ROW()/10000000,"")</f>
      </c>
    </row>
    <row r="40">
      <c r="A40" s="38">
        <f>IF(C40="","",IF(B40="","Needs ID",IF(OR(C40="loan",C40="send_out"),IF(COUNTIF($L$2:$L$1001,B40)&gt;0,"Closed",IF(K40="","Open",IF(K40&lt;NOW(),"Overdue","Open"))),IF(C40="return",IF(OR(L40="",COUNTIF($B$2:$B$1001,L40)=0),"No match",IF(OR(M40="worn",M40="damaged"),"Quarantine","Returned")),IF(C40="issue","Issued",IF(C40="transfer","Moved",IF(C40="write_off","Written off",IF(C40="unfilled","Unfilled",""))))))))</f>
      </c>
      <c r="B40" s="31"/>
      <c r="C40" s="35"/>
      <c r="D40" s="33"/>
      <c r="E40" s="31"/>
      <c r="F40" s="31"/>
      <c r="G40" s="37">
        <f>IF(F40="","",IF(ISNA(MATCH(F40,'Item master'!$A$2:$A$301,0)),"Not in Item master",IFERROR(INDEX('Item master'!$B$2:$B$301,MATCH(F40,'Item master'!$A$2:$A$301,0))&amp;"","")))</f>
      </c>
      <c r="H40" s="34"/>
      <c r="I40" s="31"/>
      <c r="J40" s="31"/>
      <c r="K40" s="33"/>
      <c r="L40" s="31"/>
      <c r="M40" s="35"/>
      <c r="N40" s="30"/>
      <c r="O40" s="30"/>
      <c r="P40" s="36"/>
      <c r="Q40" s="38">
        <f>IF(OR(C40&lt;&gt;"loan",E40=""),"",IF(ISNA(MATCH(E40,Units!$A$2:$A$501,0)),"",IF(INDEX(Units!$E$2:$E$501,MATCH(E40,Units!$A$2:$A$501,0))="","",IF(K40="","No due date",IF(INT(K40)&gt;INDEX(Units!$E$2:$E$501,MATCH(E40,Units!$A$2:$A$501,0)),"Past cal date","OK")))))</f>
      </c>
      <c r="R40" s="37">
        <f>IF(A40="Overdue",K40+ROW()/10000000,"")</f>
      </c>
    </row>
    <row r="41">
      <c r="A41" s="38">
        <f>IF(C41="","",IF(B41="","Needs ID",IF(OR(C41="loan",C41="send_out"),IF(COUNTIF($L$2:$L$1001,B41)&gt;0,"Closed",IF(K41="","Open",IF(K41&lt;NOW(),"Overdue","Open"))),IF(C41="return",IF(OR(L41="",COUNTIF($B$2:$B$1001,L41)=0),"No match",IF(OR(M41="worn",M41="damaged"),"Quarantine","Returned")),IF(C41="issue","Issued",IF(C41="transfer","Moved",IF(C41="write_off","Written off",IF(C41="unfilled","Unfilled",""))))))))</f>
      </c>
      <c r="B41" s="31"/>
      <c r="C41" s="35"/>
      <c r="D41" s="33"/>
      <c r="E41" s="31"/>
      <c r="F41" s="31"/>
      <c r="G41" s="37">
        <f>IF(F41="","",IF(ISNA(MATCH(F41,'Item master'!$A$2:$A$301,0)),"Not in Item master",IFERROR(INDEX('Item master'!$B$2:$B$301,MATCH(F41,'Item master'!$A$2:$A$301,0))&amp;"","")))</f>
      </c>
      <c r="H41" s="34"/>
      <c r="I41" s="31"/>
      <c r="J41" s="31"/>
      <c r="K41" s="33"/>
      <c r="L41" s="31"/>
      <c r="M41" s="35"/>
      <c r="N41" s="30"/>
      <c r="O41" s="30"/>
      <c r="P41" s="36"/>
      <c r="Q41" s="38">
        <f>IF(OR(C41&lt;&gt;"loan",E41=""),"",IF(ISNA(MATCH(E41,Units!$A$2:$A$501,0)),"",IF(INDEX(Units!$E$2:$E$501,MATCH(E41,Units!$A$2:$A$501,0))="","",IF(K41="","No due date",IF(INT(K41)&gt;INDEX(Units!$E$2:$E$501,MATCH(E41,Units!$A$2:$A$501,0)),"Past cal date","OK")))))</f>
      </c>
      <c r="R41" s="37">
        <f>IF(A41="Overdue",K41+ROW()/10000000,"")</f>
      </c>
    </row>
    <row r="42">
      <c r="A42" s="38">
        <f>IF(C42="","",IF(B42="","Needs ID",IF(OR(C42="loan",C42="send_out"),IF(COUNTIF($L$2:$L$1001,B42)&gt;0,"Closed",IF(K42="","Open",IF(K42&lt;NOW(),"Overdue","Open"))),IF(C42="return",IF(OR(L42="",COUNTIF($B$2:$B$1001,L42)=0),"No match",IF(OR(M42="worn",M42="damaged"),"Quarantine","Returned")),IF(C42="issue","Issued",IF(C42="transfer","Moved",IF(C42="write_off","Written off",IF(C42="unfilled","Unfilled",""))))))))</f>
      </c>
      <c r="B42" s="31"/>
      <c r="C42" s="35"/>
      <c r="D42" s="33"/>
      <c r="E42" s="31"/>
      <c r="F42" s="31"/>
      <c r="G42" s="37">
        <f>IF(F42="","",IF(ISNA(MATCH(F42,'Item master'!$A$2:$A$301,0)),"Not in Item master",IFERROR(INDEX('Item master'!$B$2:$B$301,MATCH(F42,'Item master'!$A$2:$A$301,0))&amp;"","")))</f>
      </c>
      <c r="H42" s="34"/>
      <c r="I42" s="31"/>
      <c r="J42" s="31"/>
      <c r="K42" s="33"/>
      <c r="L42" s="31"/>
      <c r="M42" s="35"/>
      <c r="N42" s="30"/>
      <c r="O42" s="30"/>
      <c r="P42" s="36"/>
      <c r="Q42" s="38">
        <f>IF(OR(C42&lt;&gt;"loan",E42=""),"",IF(ISNA(MATCH(E42,Units!$A$2:$A$501,0)),"",IF(INDEX(Units!$E$2:$E$501,MATCH(E42,Units!$A$2:$A$501,0))="","",IF(K42="","No due date",IF(INT(K42)&gt;INDEX(Units!$E$2:$E$501,MATCH(E42,Units!$A$2:$A$501,0)),"Past cal date","OK")))))</f>
      </c>
      <c r="R42" s="37">
        <f>IF(A42="Overdue",K42+ROW()/10000000,"")</f>
      </c>
    </row>
    <row r="43">
      <c r="A43" s="38">
        <f>IF(C43="","",IF(B43="","Needs ID",IF(OR(C43="loan",C43="send_out"),IF(COUNTIF($L$2:$L$1001,B43)&gt;0,"Closed",IF(K43="","Open",IF(K43&lt;NOW(),"Overdue","Open"))),IF(C43="return",IF(OR(L43="",COUNTIF($B$2:$B$1001,L43)=0),"No match",IF(OR(M43="worn",M43="damaged"),"Quarantine","Returned")),IF(C43="issue","Issued",IF(C43="transfer","Moved",IF(C43="write_off","Written off",IF(C43="unfilled","Unfilled",""))))))))</f>
      </c>
      <c r="B43" s="31"/>
      <c r="C43" s="35"/>
      <c r="D43" s="33"/>
      <c r="E43" s="31"/>
      <c r="F43" s="31"/>
      <c r="G43" s="37">
        <f>IF(F43="","",IF(ISNA(MATCH(F43,'Item master'!$A$2:$A$301,0)),"Not in Item master",IFERROR(INDEX('Item master'!$B$2:$B$301,MATCH(F43,'Item master'!$A$2:$A$301,0))&amp;"","")))</f>
      </c>
      <c r="H43" s="34"/>
      <c r="I43" s="31"/>
      <c r="J43" s="31"/>
      <c r="K43" s="33"/>
      <c r="L43" s="31"/>
      <c r="M43" s="35"/>
      <c r="N43" s="30"/>
      <c r="O43" s="30"/>
      <c r="P43" s="36"/>
      <c r="Q43" s="38">
        <f>IF(OR(C43&lt;&gt;"loan",E43=""),"",IF(ISNA(MATCH(E43,Units!$A$2:$A$501,0)),"",IF(INDEX(Units!$E$2:$E$501,MATCH(E43,Units!$A$2:$A$501,0))="","",IF(K43="","No due date",IF(INT(K43)&gt;INDEX(Units!$E$2:$E$501,MATCH(E43,Units!$A$2:$A$501,0)),"Past cal date","OK")))))</f>
      </c>
      <c r="R43" s="37">
        <f>IF(A43="Overdue",K43+ROW()/10000000,"")</f>
      </c>
    </row>
    <row r="44">
      <c r="A44" s="38">
        <f>IF(C44="","",IF(B44="","Needs ID",IF(OR(C44="loan",C44="send_out"),IF(COUNTIF($L$2:$L$1001,B44)&gt;0,"Closed",IF(K44="","Open",IF(K44&lt;NOW(),"Overdue","Open"))),IF(C44="return",IF(OR(L44="",COUNTIF($B$2:$B$1001,L44)=0),"No match",IF(OR(M44="worn",M44="damaged"),"Quarantine","Returned")),IF(C44="issue","Issued",IF(C44="transfer","Moved",IF(C44="write_off","Written off",IF(C44="unfilled","Unfilled",""))))))))</f>
      </c>
      <c r="B44" s="31"/>
      <c r="C44" s="35"/>
      <c r="D44" s="33"/>
      <c r="E44" s="31"/>
      <c r="F44" s="31"/>
      <c r="G44" s="37">
        <f>IF(F44="","",IF(ISNA(MATCH(F44,'Item master'!$A$2:$A$301,0)),"Not in Item master",IFERROR(INDEX('Item master'!$B$2:$B$301,MATCH(F44,'Item master'!$A$2:$A$301,0))&amp;"","")))</f>
      </c>
      <c r="H44" s="34"/>
      <c r="I44" s="31"/>
      <c r="J44" s="31"/>
      <c r="K44" s="33"/>
      <c r="L44" s="31"/>
      <c r="M44" s="35"/>
      <c r="N44" s="30"/>
      <c r="O44" s="30"/>
      <c r="P44" s="36"/>
      <c r="Q44" s="38">
        <f>IF(OR(C44&lt;&gt;"loan",E44=""),"",IF(ISNA(MATCH(E44,Units!$A$2:$A$501,0)),"",IF(INDEX(Units!$E$2:$E$501,MATCH(E44,Units!$A$2:$A$501,0))="","",IF(K44="","No due date",IF(INT(K44)&gt;INDEX(Units!$E$2:$E$501,MATCH(E44,Units!$A$2:$A$501,0)),"Past cal date","OK")))))</f>
      </c>
      <c r="R44" s="37">
        <f>IF(A44="Overdue",K44+ROW()/10000000,"")</f>
      </c>
    </row>
    <row r="45">
      <c r="A45" s="38">
        <f>IF(C45="","",IF(B45="","Needs ID",IF(OR(C45="loan",C45="send_out"),IF(COUNTIF($L$2:$L$1001,B45)&gt;0,"Closed",IF(K45="","Open",IF(K45&lt;NOW(),"Overdue","Open"))),IF(C45="return",IF(OR(L45="",COUNTIF($B$2:$B$1001,L45)=0),"No match",IF(OR(M45="worn",M45="damaged"),"Quarantine","Returned")),IF(C45="issue","Issued",IF(C45="transfer","Moved",IF(C45="write_off","Written off",IF(C45="unfilled","Unfilled",""))))))))</f>
      </c>
      <c r="B45" s="31"/>
      <c r="C45" s="35"/>
      <c r="D45" s="33"/>
      <c r="E45" s="31"/>
      <c r="F45" s="31"/>
      <c r="G45" s="37">
        <f>IF(F45="","",IF(ISNA(MATCH(F45,'Item master'!$A$2:$A$301,0)),"Not in Item master",IFERROR(INDEX('Item master'!$B$2:$B$301,MATCH(F45,'Item master'!$A$2:$A$301,0))&amp;"","")))</f>
      </c>
      <c r="H45" s="34"/>
      <c r="I45" s="31"/>
      <c r="J45" s="31"/>
      <c r="K45" s="33"/>
      <c r="L45" s="31"/>
      <c r="M45" s="35"/>
      <c r="N45" s="30"/>
      <c r="O45" s="30"/>
      <c r="P45" s="36"/>
      <c r="Q45" s="38">
        <f>IF(OR(C45&lt;&gt;"loan",E45=""),"",IF(ISNA(MATCH(E45,Units!$A$2:$A$501,0)),"",IF(INDEX(Units!$E$2:$E$501,MATCH(E45,Units!$A$2:$A$501,0))="","",IF(K45="","No due date",IF(INT(K45)&gt;INDEX(Units!$E$2:$E$501,MATCH(E45,Units!$A$2:$A$501,0)),"Past cal date","OK")))))</f>
      </c>
      <c r="R45" s="37">
        <f>IF(A45="Overdue",K45+ROW()/10000000,"")</f>
      </c>
    </row>
    <row r="46">
      <c r="A46" s="38">
        <f>IF(C46="","",IF(B46="","Needs ID",IF(OR(C46="loan",C46="send_out"),IF(COUNTIF($L$2:$L$1001,B46)&gt;0,"Closed",IF(K46="","Open",IF(K46&lt;NOW(),"Overdue","Open"))),IF(C46="return",IF(OR(L46="",COUNTIF($B$2:$B$1001,L46)=0),"No match",IF(OR(M46="worn",M46="damaged"),"Quarantine","Returned")),IF(C46="issue","Issued",IF(C46="transfer","Moved",IF(C46="write_off","Written off",IF(C46="unfilled","Unfilled",""))))))))</f>
      </c>
      <c r="B46" s="31"/>
      <c r="C46" s="35"/>
      <c r="D46" s="33"/>
      <c r="E46" s="31"/>
      <c r="F46" s="31"/>
      <c r="G46" s="37">
        <f>IF(F46="","",IF(ISNA(MATCH(F46,'Item master'!$A$2:$A$301,0)),"Not in Item master",IFERROR(INDEX('Item master'!$B$2:$B$301,MATCH(F46,'Item master'!$A$2:$A$301,0))&amp;"","")))</f>
      </c>
      <c r="H46" s="34"/>
      <c r="I46" s="31"/>
      <c r="J46" s="31"/>
      <c r="K46" s="33"/>
      <c r="L46" s="31"/>
      <c r="M46" s="35"/>
      <c r="N46" s="30"/>
      <c r="O46" s="30"/>
      <c r="P46" s="36"/>
      <c r="Q46" s="38">
        <f>IF(OR(C46&lt;&gt;"loan",E46=""),"",IF(ISNA(MATCH(E46,Units!$A$2:$A$501,0)),"",IF(INDEX(Units!$E$2:$E$501,MATCH(E46,Units!$A$2:$A$501,0))="","",IF(K46="","No due date",IF(INT(K46)&gt;INDEX(Units!$E$2:$E$501,MATCH(E46,Units!$A$2:$A$501,0)),"Past cal date","OK")))))</f>
      </c>
      <c r="R46" s="37">
        <f>IF(A46="Overdue",K46+ROW()/10000000,"")</f>
      </c>
    </row>
    <row r="47">
      <c r="A47" s="38">
        <f>IF(C47="","",IF(B47="","Needs ID",IF(OR(C47="loan",C47="send_out"),IF(COUNTIF($L$2:$L$1001,B47)&gt;0,"Closed",IF(K47="","Open",IF(K47&lt;NOW(),"Overdue","Open"))),IF(C47="return",IF(OR(L47="",COUNTIF($B$2:$B$1001,L47)=0),"No match",IF(OR(M47="worn",M47="damaged"),"Quarantine","Returned")),IF(C47="issue","Issued",IF(C47="transfer","Moved",IF(C47="write_off","Written off",IF(C47="unfilled","Unfilled",""))))))))</f>
      </c>
      <c r="B47" s="31"/>
      <c r="C47" s="35"/>
      <c r="D47" s="33"/>
      <c r="E47" s="31"/>
      <c r="F47" s="31"/>
      <c r="G47" s="37">
        <f>IF(F47="","",IF(ISNA(MATCH(F47,'Item master'!$A$2:$A$301,0)),"Not in Item master",IFERROR(INDEX('Item master'!$B$2:$B$301,MATCH(F47,'Item master'!$A$2:$A$301,0))&amp;"","")))</f>
      </c>
      <c r="H47" s="34"/>
      <c r="I47" s="31"/>
      <c r="J47" s="31"/>
      <c r="K47" s="33"/>
      <c r="L47" s="31"/>
      <c r="M47" s="35"/>
      <c r="N47" s="30"/>
      <c r="O47" s="30"/>
      <c r="P47" s="36"/>
      <c r="Q47" s="38">
        <f>IF(OR(C47&lt;&gt;"loan",E47=""),"",IF(ISNA(MATCH(E47,Units!$A$2:$A$501,0)),"",IF(INDEX(Units!$E$2:$E$501,MATCH(E47,Units!$A$2:$A$501,0))="","",IF(K47="","No due date",IF(INT(K47)&gt;INDEX(Units!$E$2:$E$501,MATCH(E47,Units!$A$2:$A$501,0)),"Past cal date","OK")))))</f>
      </c>
      <c r="R47" s="37">
        <f>IF(A47="Overdue",K47+ROW()/10000000,"")</f>
      </c>
    </row>
    <row r="48">
      <c r="A48" s="38">
        <f>IF(C48="","",IF(B48="","Needs ID",IF(OR(C48="loan",C48="send_out"),IF(COUNTIF($L$2:$L$1001,B48)&gt;0,"Closed",IF(K48="","Open",IF(K48&lt;NOW(),"Overdue","Open"))),IF(C48="return",IF(OR(L48="",COUNTIF($B$2:$B$1001,L48)=0),"No match",IF(OR(M48="worn",M48="damaged"),"Quarantine","Returned")),IF(C48="issue","Issued",IF(C48="transfer","Moved",IF(C48="write_off","Written off",IF(C48="unfilled","Unfilled",""))))))))</f>
      </c>
      <c r="B48" s="31"/>
      <c r="C48" s="35"/>
      <c r="D48" s="33"/>
      <c r="E48" s="31"/>
      <c r="F48" s="31"/>
      <c r="G48" s="37">
        <f>IF(F48="","",IF(ISNA(MATCH(F48,'Item master'!$A$2:$A$301,0)),"Not in Item master",IFERROR(INDEX('Item master'!$B$2:$B$301,MATCH(F48,'Item master'!$A$2:$A$301,0))&amp;"","")))</f>
      </c>
      <c r="H48" s="34"/>
      <c r="I48" s="31"/>
      <c r="J48" s="31"/>
      <c r="K48" s="33"/>
      <c r="L48" s="31"/>
      <c r="M48" s="35"/>
      <c r="N48" s="30"/>
      <c r="O48" s="30"/>
      <c r="P48" s="36"/>
      <c r="Q48" s="38">
        <f>IF(OR(C48&lt;&gt;"loan",E48=""),"",IF(ISNA(MATCH(E48,Units!$A$2:$A$501,0)),"",IF(INDEX(Units!$E$2:$E$501,MATCH(E48,Units!$A$2:$A$501,0))="","",IF(K48="","No due date",IF(INT(K48)&gt;INDEX(Units!$E$2:$E$501,MATCH(E48,Units!$A$2:$A$501,0)),"Past cal date","OK")))))</f>
      </c>
      <c r="R48" s="37">
        <f>IF(A48="Overdue",K48+ROW()/10000000,"")</f>
      </c>
    </row>
    <row r="49">
      <c r="A49" s="38">
        <f>IF(C49="","",IF(B49="","Needs ID",IF(OR(C49="loan",C49="send_out"),IF(COUNTIF($L$2:$L$1001,B49)&gt;0,"Closed",IF(K49="","Open",IF(K49&lt;NOW(),"Overdue","Open"))),IF(C49="return",IF(OR(L49="",COUNTIF($B$2:$B$1001,L49)=0),"No match",IF(OR(M49="worn",M49="damaged"),"Quarantine","Returned")),IF(C49="issue","Issued",IF(C49="transfer","Moved",IF(C49="write_off","Written off",IF(C49="unfilled","Unfilled",""))))))))</f>
      </c>
      <c r="B49" s="31"/>
      <c r="C49" s="35"/>
      <c r="D49" s="33"/>
      <c r="E49" s="31"/>
      <c r="F49" s="31"/>
      <c r="G49" s="37">
        <f>IF(F49="","",IF(ISNA(MATCH(F49,'Item master'!$A$2:$A$301,0)),"Not in Item master",IFERROR(INDEX('Item master'!$B$2:$B$301,MATCH(F49,'Item master'!$A$2:$A$301,0))&amp;"","")))</f>
      </c>
      <c r="H49" s="34"/>
      <c r="I49" s="31"/>
      <c r="J49" s="31"/>
      <c r="K49" s="33"/>
      <c r="L49" s="31"/>
      <c r="M49" s="35"/>
      <c r="N49" s="30"/>
      <c r="O49" s="30"/>
      <c r="P49" s="36"/>
      <c r="Q49" s="38">
        <f>IF(OR(C49&lt;&gt;"loan",E49=""),"",IF(ISNA(MATCH(E49,Units!$A$2:$A$501,0)),"",IF(INDEX(Units!$E$2:$E$501,MATCH(E49,Units!$A$2:$A$501,0))="","",IF(K49="","No due date",IF(INT(K49)&gt;INDEX(Units!$E$2:$E$501,MATCH(E49,Units!$A$2:$A$501,0)),"Past cal date","OK")))))</f>
      </c>
      <c r="R49" s="37">
        <f>IF(A49="Overdue",K49+ROW()/10000000,"")</f>
      </c>
    </row>
    <row r="50">
      <c r="A50" s="38">
        <f>IF(C50="","",IF(B50="","Needs ID",IF(OR(C50="loan",C50="send_out"),IF(COUNTIF($L$2:$L$1001,B50)&gt;0,"Closed",IF(K50="","Open",IF(K50&lt;NOW(),"Overdue","Open"))),IF(C50="return",IF(OR(L50="",COUNTIF($B$2:$B$1001,L50)=0),"No match",IF(OR(M50="worn",M50="damaged"),"Quarantine","Returned")),IF(C50="issue","Issued",IF(C50="transfer","Moved",IF(C50="write_off","Written off",IF(C50="unfilled","Unfilled",""))))))))</f>
      </c>
      <c r="B50" s="31"/>
      <c r="C50" s="35"/>
      <c r="D50" s="33"/>
      <c r="E50" s="31"/>
      <c r="F50" s="31"/>
      <c r="G50" s="37">
        <f>IF(F50="","",IF(ISNA(MATCH(F50,'Item master'!$A$2:$A$301,0)),"Not in Item master",IFERROR(INDEX('Item master'!$B$2:$B$301,MATCH(F50,'Item master'!$A$2:$A$301,0))&amp;"","")))</f>
      </c>
      <c r="H50" s="34"/>
      <c r="I50" s="31"/>
      <c r="J50" s="31"/>
      <c r="K50" s="33"/>
      <c r="L50" s="31"/>
      <c r="M50" s="35"/>
      <c r="N50" s="30"/>
      <c r="O50" s="30"/>
      <c r="P50" s="36"/>
      <c r="Q50" s="38">
        <f>IF(OR(C50&lt;&gt;"loan",E50=""),"",IF(ISNA(MATCH(E50,Units!$A$2:$A$501,0)),"",IF(INDEX(Units!$E$2:$E$501,MATCH(E50,Units!$A$2:$A$501,0))="","",IF(K50="","No due date",IF(INT(K50)&gt;INDEX(Units!$E$2:$E$501,MATCH(E50,Units!$A$2:$A$501,0)),"Past cal date","OK")))))</f>
      </c>
      <c r="R50" s="37">
        <f>IF(A50="Overdue",K50+ROW()/10000000,"")</f>
      </c>
    </row>
    <row r="51">
      <c r="A51" s="38">
        <f>IF(C51="","",IF(B51="","Needs ID",IF(OR(C51="loan",C51="send_out"),IF(COUNTIF($L$2:$L$1001,B51)&gt;0,"Closed",IF(K51="","Open",IF(K51&lt;NOW(),"Overdue","Open"))),IF(C51="return",IF(OR(L51="",COUNTIF($B$2:$B$1001,L51)=0),"No match",IF(OR(M51="worn",M51="damaged"),"Quarantine","Returned")),IF(C51="issue","Issued",IF(C51="transfer","Moved",IF(C51="write_off","Written off",IF(C51="unfilled","Unfilled",""))))))))</f>
      </c>
      <c r="B51" s="31"/>
      <c r="C51" s="35"/>
      <c r="D51" s="33"/>
      <c r="E51" s="31"/>
      <c r="F51" s="31"/>
      <c r="G51" s="37">
        <f>IF(F51="","",IF(ISNA(MATCH(F51,'Item master'!$A$2:$A$301,0)),"Not in Item master",IFERROR(INDEX('Item master'!$B$2:$B$301,MATCH(F51,'Item master'!$A$2:$A$301,0))&amp;"","")))</f>
      </c>
      <c r="H51" s="34"/>
      <c r="I51" s="31"/>
      <c r="J51" s="31"/>
      <c r="K51" s="33"/>
      <c r="L51" s="31"/>
      <c r="M51" s="35"/>
      <c r="N51" s="30"/>
      <c r="O51" s="30"/>
      <c r="P51" s="36"/>
      <c r="Q51" s="38">
        <f>IF(OR(C51&lt;&gt;"loan",E51=""),"",IF(ISNA(MATCH(E51,Units!$A$2:$A$501,0)),"",IF(INDEX(Units!$E$2:$E$501,MATCH(E51,Units!$A$2:$A$501,0))="","",IF(K51="","No due date",IF(INT(K51)&gt;INDEX(Units!$E$2:$E$501,MATCH(E51,Units!$A$2:$A$501,0)),"Past cal date","OK")))))</f>
      </c>
      <c r="R51" s="37">
        <f>IF(A51="Overdue",K51+ROW()/10000000,"")</f>
      </c>
    </row>
    <row r="52">
      <c r="A52" s="38">
        <f>IF(C52="","",IF(B52="","Needs ID",IF(OR(C52="loan",C52="send_out"),IF(COUNTIF($L$2:$L$1001,B52)&gt;0,"Closed",IF(K52="","Open",IF(K52&lt;NOW(),"Overdue","Open"))),IF(C52="return",IF(OR(L52="",COUNTIF($B$2:$B$1001,L52)=0),"No match",IF(OR(M52="worn",M52="damaged"),"Quarantine","Returned")),IF(C52="issue","Issued",IF(C52="transfer","Moved",IF(C52="write_off","Written off",IF(C52="unfilled","Unfilled",""))))))))</f>
      </c>
      <c r="B52" s="31"/>
      <c r="C52" s="35"/>
      <c r="D52" s="33"/>
      <c r="E52" s="31"/>
      <c r="F52" s="31"/>
      <c r="G52" s="37">
        <f>IF(F52="","",IF(ISNA(MATCH(F52,'Item master'!$A$2:$A$301,0)),"Not in Item master",IFERROR(INDEX('Item master'!$B$2:$B$301,MATCH(F52,'Item master'!$A$2:$A$301,0))&amp;"","")))</f>
      </c>
      <c r="H52" s="34"/>
      <c r="I52" s="31"/>
      <c r="J52" s="31"/>
      <c r="K52" s="33"/>
      <c r="L52" s="31"/>
      <c r="M52" s="35"/>
      <c r="N52" s="30"/>
      <c r="O52" s="30"/>
      <c r="P52" s="36"/>
      <c r="Q52" s="38">
        <f>IF(OR(C52&lt;&gt;"loan",E52=""),"",IF(ISNA(MATCH(E52,Units!$A$2:$A$501,0)),"",IF(INDEX(Units!$E$2:$E$501,MATCH(E52,Units!$A$2:$A$501,0))="","",IF(K52="","No due date",IF(INT(K52)&gt;INDEX(Units!$E$2:$E$501,MATCH(E52,Units!$A$2:$A$501,0)),"Past cal date","OK")))))</f>
      </c>
      <c r="R52" s="37">
        <f>IF(A52="Overdue",K52+ROW()/10000000,"")</f>
      </c>
    </row>
    <row r="53">
      <c r="A53" s="38">
        <f>IF(C53="","",IF(B53="","Needs ID",IF(OR(C53="loan",C53="send_out"),IF(COUNTIF($L$2:$L$1001,B53)&gt;0,"Closed",IF(K53="","Open",IF(K53&lt;NOW(),"Overdue","Open"))),IF(C53="return",IF(OR(L53="",COUNTIF($B$2:$B$1001,L53)=0),"No match",IF(OR(M53="worn",M53="damaged"),"Quarantine","Returned")),IF(C53="issue","Issued",IF(C53="transfer","Moved",IF(C53="write_off","Written off",IF(C53="unfilled","Unfilled",""))))))))</f>
      </c>
      <c r="B53" s="31"/>
      <c r="C53" s="35"/>
      <c r="D53" s="33"/>
      <c r="E53" s="31"/>
      <c r="F53" s="31"/>
      <c r="G53" s="37">
        <f>IF(F53="","",IF(ISNA(MATCH(F53,'Item master'!$A$2:$A$301,0)),"Not in Item master",IFERROR(INDEX('Item master'!$B$2:$B$301,MATCH(F53,'Item master'!$A$2:$A$301,0))&amp;"","")))</f>
      </c>
      <c r="H53" s="34"/>
      <c r="I53" s="31"/>
      <c r="J53" s="31"/>
      <c r="K53" s="33"/>
      <c r="L53" s="31"/>
      <c r="M53" s="35"/>
      <c r="N53" s="30"/>
      <c r="O53" s="30"/>
      <c r="P53" s="36"/>
      <c r="Q53" s="38">
        <f>IF(OR(C53&lt;&gt;"loan",E53=""),"",IF(ISNA(MATCH(E53,Units!$A$2:$A$501,0)),"",IF(INDEX(Units!$E$2:$E$501,MATCH(E53,Units!$A$2:$A$501,0))="","",IF(K53="","No due date",IF(INT(K53)&gt;INDEX(Units!$E$2:$E$501,MATCH(E53,Units!$A$2:$A$501,0)),"Past cal date","OK")))))</f>
      </c>
      <c r="R53" s="37">
        <f>IF(A53="Overdue",K53+ROW()/10000000,"")</f>
      </c>
    </row>
    <row r="54">
      <c r="A54" s="38">
        <f>IF(C54="","",IF(B54="","Needs ID",IF(OR(C54="loan",C54="send_out"),IF(COUNTIF($L$2:$L$1001,B54)&gt;0,"Closed",IF(K54="","Open",IF(K54&lt;NOW(),"Overdue","Open"))),IF(C54="return",IF(OR(L54="",COUNTIF($B$2:$B$1001,L54)=0),"No match",IF(OR(M54="worn",M54="damaged"),"Quarantine","Returned")),IF(C54="issue","Issued",IF(C54="transfer","Moved",IF(C54="write_off","Written off",IF(C54="unfilled","Unfilled",""))))))))</f>
      </c>
      <c r="B54" s="31"/>
      <c r="C54" s="35"/>
      <c r="D54" s="33"/>
      <c r="E54" s="31"/>
      <c r="F54" s="31"/>
      <c r="G54" s="37">
        <f>IF(F54="","",IF(ISNA(MATCH(F54,'Item master'!$A$2:$A$301,0)),"Not in Item master",IFERROR(INDEX('Item master'!$B$2:$B$301,MATCH(F54,'Item master'!$A$2:$A$301,0))&amp;"","")))</f>
      </c>
      <c r="H54" s="34"/>
      <c r="I54" s="31"/>
      <c r="J54" s="31"/>
      <c r="K54" s="33"/>
      <c r="L54" s="31"/>
      <c r="M54" s="35"/>
      <c r="N54" s="30"/>
      <c r="O54" s="30"/>
      <c r="P54" s="36"/>
      <c r="Q54" s="38">
        <f>IF(OR(C54&lt;&gt;"loan",E54=""),"",IF(ISNA(MATCH(E54,Units!$A$2:$A$501,0)),"",IF(INDEX(Units!$E$2:$E$501,MATCH(E54,Units!$A$2:$A$501,0))="","",IF(K54="","No due date",IF(INT(K54)&gt;INDEX(Units!$E$2:$E$501,MATCH(E54,Units!$A$2:$A$501,0)),"Past cal date","OK")))))</f>
      </c>
      <c r="R54" s="37">
        <f>IF(A54="Overdue",K54+ROW()/10000000,"")</f>
      </c>
    </row>
    <row r="55">
      <c r="A55" s="38">
        <f>IF(C55="","",IF(B55="","Needs ID",IF(OR(C55="loan",C55="send_out"),IF(COUNTIF($L$2:$L$1001,B55)&gt;0,"Closed",IF(K55="","Open",IF(K55&lt;NOW(),"Overdue","Open"))),IF(C55="return",IF(OR(L55="",COUNTIF($B$2:$B$1001,L55)=0),"No match",IF(OR(M55="worn",M55="damaged"),"Quarantine","Returned")),IF(C55="issue","Issued",IF(C55="transfer","Moved",IF(C55="write_off","Written off",IF(C55="unfilled","Unfilled",""))))))))</f>
      </c>
      <c r="B55" s="31"/>
      <c r="C55" s="35"/>
      <c r="D55" s="33"/>
      <c r="E55" s="31"/>
      <c r="F55" s="31"/>
      <c r="G55" s="37">
        <f>IF(F55="","",IF(ISNA(MATCH(F55,'Item master'!$A$2:$A$301,0)),"Not in Item master",IFERROR(INDEX('Item master'!$B$2:$B$301,MATCH(F55,'Item master'!$A$2:$A$301,0))&amp;"","")))</f>
      </c>
      <c r="H55" s="34"/>
      <c r="I55" s="31"/>
      <c r="J55" s="31"/>
      <c r="K55" s="33"/>
      <c r="L55" s="31"/>
      <c r="M55" s="35"/>
      <c r="N55" s="30"/>
      <c r="O55" s="30"/>
      <c r="P55" s="36"/>
      <c r="Q55" s="38">
        <f>IF(OR(C55&lt;&gt;"loan",E55=""),"",IF(ISNA(MATCH(E55,Units!$A$2:$A$501,0)),"",IF(INDEX(Units!$E$2:$E$501,MATCH(E55,Units!$A$2:$A$501,0))="","",IF(K55="","No due date",IF(INT(K55)&gt;INDEX(Units!$E$2:$E$501,MATCH(E55,Units!$A$2:$A$501,0)),"Past cal date","OK")))))</f>
      </c>
      <c r="R55" s="37">
        <f>IF(A55="Overdue",K55+ROW()/10000000,"")</f>
      </c>
    </row>
    <row r="56">
      <c r="A56" s="38">
        <f>IF(C56="","",IF(B56="","Needs ID",IF(OR(C56="loan",C56="send_out"),IF(COUNTIF($L$2:$L$1001,B56)&gt;0,"Closed",IF(K56="","Open",IF(K56&lt;NOW(),"Overdue","Open"))),IF(C56="return",IF(OR(L56="",COUNTIF($B$2:$B$1001,L56)=0),"No match",IF(OR(M56="worn",M56="damaged"),"Quarantine","Returned")),IF(C56="issue","Issued",IF(C56="transfer","Moved",IF(C56="write_off","Written off",IF(C56="unfilled","Unfilled",""))))))))</f>
      </c>
      <c r="B56" s="31"/>
      <c r="C56" s="35"/>
      <c r="D56" s="33"/>
      <c r="E56" s="31"/>
      <c r="F56" s="31"/>
      <c r="G56" s="37">
        <f>IF(F56="","",IF(ISNA(MATCH(F56,'Item master'!$A$2:$A$301,0)),"Not in Item master",IFERROR(INDEX('Item master'!$B$2:$B$301,MATCH(F56,'Item master'!$A$2:$A$301,0))&amp;"","")))</f>
      </c>
      <c r="H56" s="34"/>
      <c r="I56" s="31"/>
      <c r="J56" s="31"/>
      <c r="K56" s="33"/>
      <c r="L56" s="31"/>
      <c r="M56" s="35"/>
      <c r="N56" s="30"/>
      <c r="O56" s="30"/>
      <c r="P56" s="36"/>
      <c r="Q56" s="38">
        <f>IF(OR(C56&lt;&gt;"loan",E56=""),"",IF(ISNA(MATCH(E56,Units!$A$2:$A$501,0)),"",IF(INDEX(Units!$E$2:$E$501,MATCH(E56,Units!$A$2:$A$501,0))="","",IF(K56="","No due date",IF(INT(K56)&gt;INDEX(Units!$E$2:$E$501,MATCH(E56,Units!$A$2:$A$501,0)),"Past cal date","OK")))))</f>
      </c>
      <c r="R56" s="37">
        <f>IF(A56="Overdue",K56+ROW()/10000000,"")</f>
      </c>
    </row>
    <row r="57">
      <c r="A57" s="38">
        <f>IF(C57="","",IF(B57="","Needs ID",IF(OR(C57="loan",C57="send_out"),IF(COUNTIF($L$2:$L$1001,B57)&gt;0,"Closed",IF(K57="","Open",IF(K57&lt;NOW(),"Overdue","Open"))),IF(C57="return",IF(OR(L57="",COUNTIF($B$2:$B$1001,L57)=0),"No match",IF(OR(M57="worn",M57="damaged"),"Quarantine","Returned")),IF(C57="issue","Issued",IF(C57="transfer","Moved",IF(C57="write_off","Written off",IF(C57="unfilled","Unfilled",""))))))))</f>
      </c>
      <c r="B57" s="31"/>
      <c r="C57" s="35"/>
      <c r="D57" s="33"/>
      <c r="E57" s="31"/>
      <c r="F57" s="31"/>
      <c r="G57" s="37">
        <f>IF(F57="","",IF(ISNA(MATCH(F57,'Item master'!$A$2:$A$301,0)),"Not in Item master",IFERROR(INDEX('Item master'!$B$2:$B$301,MATCH(F57,'Item master'!$A$2:$A$301,0))&amp;"","")))</f>
      </c>
      <c r="H57" s="34"/>
      <c r="I57" s="31"/>
      <c r="J57" s="31"/>
      <c r="K57" s="33"/>
      <c r="L57" s="31"/>
      <c r="M57" s="35"/>
      <c r="N57" s="30"/>
      <c r="O57" s="30"/>
      <c r="P57" s="36"/>
      <c r="Q57" s="38">
        <f>IF(OR(C57&lt;&gt;"loan",E57=""),"",IF(ISNA(MATCH(E57,Units!$A$2:$A$501,0)),"",IF(INDEX(Units!$E$2:$E$501,MATCH(E57,Units!$A$2:$A$501,0))="","",IF(K57="","No due date",IF(INT(K57)&gt;INDEX(Units!$E$2:$E$501,MATCH(E57,Units!$A$2:$A$501,0)),"Past cal date","OK")))))</f>
      </c>
      <c r="R57" s="37">
        <f>IF(A57="Overdue",K57+ROW()/10000000,"")</f>
      </c>
    </row>
    <row r="58">
      <c r="A58" s="38">
        <f>IF(C58="","",IF(B58="","Needs ID",IF(OR(C58="loan",C58="send_out"),IF(COUNTIF($L$2:$L$1001,B58)&gt;0,"Closed",IF(K58="","Open",IF(K58&lt;NOW(),"Overdue","Open"))),IF(C58="return",IF(OR(L58="",COUNTIF($B$2:$B$1001,L58)=0),"No match",IF(OR(M58="worn",M58="damaged"),"Quarantine","Returned")),IF(C58="issue","Issued",IF(C58="transfer","Moved",IF(C58="write_off","Written off",IF(C58="unfilled","Unfilled",""))))))))</f>
      </c>
      <c r="B58" s="31"/>
      <c r="C58" s="35"/>
      <c r="D58" s="33"/>
      <c r="E58" s="31"/>
      <c r="F58" s="31"/>
      <c r="G58" s="37">
        <f>IF(F58="","",IF(ISNA(MATCH(F58,'Item master'!$A$2:$A$301,0)),"Not in Item master",IFERROR(INDEX('Item master'!$B$2:$B$301,MATCH(F58,'Item master'!$A$2:$A$301,0))&amp;"","")))</f>
      </c>
      <c r="H58" s="34"/>
      <c r="I58" s="31"/>
      <c r="J58" s="31"/>
      <c r="K58" s="33"/>
      <c r="L58" s="31"/>
      <c r="M58" s="35"/>
      <c r="N58" s="30"/>
      <c r="O58" s="30"/>
      <c r="P58" s="36"/>
      <c r="Q58" s="38">
        <f>IF(OR(C58&lt;&gt;"loan",E58=""),"",IF(ISNA(MATCH(E58,Units!$A$2:$A$501,0)),"",IF(INDEX(Units!$E$2:$E$501,MATCH(E58,Units!$A$2:$A$501,0))="","",IF(K58="","No due date",IF(INT(K58)&gt;INDEX(Units!$E$2:$E$501,MATCH(E58,Units!$A$2:$A$501,0)),"Past cal date","OK")))))</f>
      </c>
      <c r="R58" s="37">
        <f>IF(A58="Overdue",K58+ROW()/10000000,"")</f>
      </c>
    </row>
    <row r="59">
      <c r="A59" s="38">
        <f>IF(C59="","",IF(B59="","Needs ID",IF(OR(C59="loan",C59="send_out"),IF(COUNTIF($L$2:$L$1001,B59)&gt;0,"Closed",IF(K59="","Open",IF(K59&lt;NOW(),"Overdue","Open"))),IF(C59="return",IF(OR(L59="",COUNTIF($B$2:$B$1001,L59)=0),"No match",IF(OR(M59="worn",M59="damaged"),"Quarantine","Returned")),IF(C59="issue","Issued",IF(C59="transfer","Moved",IF(C59="write_off","Written off",IF(C59="unfilled","Unfilled",""))))))))</f>
      </c>
      <c r="B59" s="31"/>
      <c r="C59" s="35"/>
      <c r="D59" s="33"/>
      <c r="E59" s="31"/>
      <c r="F59" s="31"/>
      <c r="G59" s="37">
        <f>IF(F59="","",IF(ISNA(MATCH(F59,'Item master'!$A$2:$A$301,0)),"Not in Item master",IFERROR(INDEX('Item master'!$B$2:$B$301,MATCH(F59,'Item master'!$A$2:$A$301,0))&amp;"","")))</f>
      </c>
      <c r="H59" s="34"/>
      <c r="I59" s="31"/>
      <c r="J59" s="31"/>
      <c r="K59" s="33"/>
      <c r="L59" s="31"/>
      <c r="M59" s="35"/>
      <c r="N59" s="30"/>
      <c r="O59" s="30"/>
      <c r="P59" s="36"/>
      <c r="Q59" s="38">
        <f>IF(OR(C59&lt;&gt;"loan",E59=""),"",IF(ISNA(MATCH(E59,Units!$A$2:$A$501,0)),"",IF(INDEX(Units!$E$2:$E$501,MATCH(E59,Units!$A$2:$A$501,0))="","",IF(K59="","No due date",IF(INT(K59)&gt;INDEX(Units!$E$2:$E$501,MATCH(E59,Units!$A$2:$A$501,0)),"Past cal date","OK")))))</f>
      </c>
      <c r="R59" s="37">
        <f>IF(A59="Overdue",K59+ROW()/10000000,"")</f>
      </c>
    </row>
    <row r="60">
      <c r="A60" s="38">
        <f>IF(C60="","",IF(B60="","Needs ID",IF(OR(C60="loan",C60="send_out"),IF(COUNTIF($L$2:$L$1001,B60)&gt;0,"Closed",IF(K60="","Open",IF(K60&lt;NOW(),"Overdue","Open"))),IF(C60="return",IF(OR(L60="",COUNTIF($B$2:$B$1001,L60)=0),"No match",IF(OR(M60="worn",M60="damaged"),"Quarantine","Returned")),IF(C60="issue","Issued",IF(C60="transfer","Moved",IF(C60="write_off","Written off",IF(C60="unfilled","Unfilled",""))))))))</f>
      </c>
      <c r="B60" s="31"/>
      <c r="C60" s="35"/>
      <c r="D60" s="33"/>
      <c r="E60" s="31"/>
      <c r="F60" s="31"/>
      <c r="G60" s="37">
        <f>IF(F60="","",IF(ISNA(MATCH(F60,'Item master'!$A$2:$A$301,0)),"Not in Item master",IFERROR(INDEX('Item master'!$B$2:$B$301,MATCH(F60,'Item master'!$A$2:$A$301,0))&amp;"","")))</f>
      </c>
      <c r="H60" s="34"/>
      <c r="I60" s="31"/>
      <c r="J60" s="31"/>
      <c r="K60" s="33"/>
      <c r="L60" s="31"/>
      <c r="M60" s="35"/>
      <c r="N60" s="30"/>
      <c r="O60" s="30"/>
      <c r="P60" s="36"/>
      <c r="Q60" s="38">
        <f>IF(OR(C60&lt;&gt;"loan",E60=""),"",IF(ISNA(MATCH(E60,Units!$A$2:$A$501,0)),"",IF(INDEX(Units!$E$2:$E$501,MATCH(E60,Units!$A$2:$A$501,0))="","",IF(K60="","No due date",IF(INT(K60)&gt;INDEX(Units!$E$2:$E$501,MATCH(E60,Units!$A$2:$A$501,0)),"Past cal date","OK")))))</f>
      </c>
      <c r="R60" s="37">
        <f>IF(A60="Overdue",K60+ROW()/10000000,"")</f>
      </c>
    </row>
    <row r="61">
      <c r="A61" s="38">
        <f>IF(C61="","",IF(B61="","Needs ID",IF(OR(C61="loan",C61="send_out"),IF(COUNTIF($L$2:$L$1001,B61)&gt;0,"Closed",IF(K61="","Open",IF(K61&lt;NOW(),"Overdue","Open"))),IF(C61="return",IF(OR(L61="",COUNTIF($B$2:$B$1001,L61)=0),"No match",IF(OR(M61="worn",M61="damaged"),"Quarantine","Returned")),IF(C61="issue","Issued",IF(C61="transfer","Moved",IF(C61="write_off","Written off",IF(C61="unfilled","Unfilled",""))))))))</f>
      </c>
      <c r="B61" s="31"/>
      <c r="C61" s="35"/>
      <c r="D61" s="33"/>
      <c r="E61" s="31"/>
      <c r="F61" s="31"/>
      <c r="G61" s="37">
        <f>IF(F61="","",IF(ISNA(MATCH(F61,'Item master'!$A$2:$A$301,0)),"Not in Item master",IFERROR(INDEX('Item master'!$B$2:$B$301,MATCH(F61,'Item master'!$A$2:$A$301,0))&amp;"","")))</f>
      </c>
      <c r="H61" s="34"/>
      <c r="I61" s="31"/>
      <c r="J61" s="31"/>
      <c r="K61" s="33"/>
      <c r="L61" s="31"/>
      <c r="M61" s="35"/>
      <c r="N61" s="30"/>
      <c r="O61" s="30"/>
      <c r="P61" s="36"/>
      <c r="Q61" s="38">
        <f>IF(OR(C61&lt;&gt;"loan",E61=""),"",IF(ISNA(MATCH(E61,Units!$A$2:$A$501,0)),"",IF(INDEX(Units!$E$2:$E$501,MATCH(E61,Units!$A$2:$A$501,0))="","",IF(K61="","No due date",IF(INT(K61)&gt;INDEX(Units!$E$2:$E$501,MATCH(E61,Units!$A$2:$A$501,0)),"Past cal date","OK")))))</f>
      </c>
      <c r="R61" s="37">
        <f>IF(A61="Overdue",K61+ROW()/10000000,"")</f>
      </c>
    </row>
    <row r="62">
      <c r="A62" s="38">
        <f>IF(C62="","",IF(B62="","Needs ID",IF(OR(C62="loan",C62="send_out"),IF(COUNTIF($L$2:$L$1001,B62)&gt;0,"Closed",IF(K62="","Open",IF(K62&lt;NOW(),"Overdue","Open"))),IF(C62="return",IF(OR(L62="",COUNTIF($B$2:$B$1001,L62)=0),"No match",IF(OR(M62="worn",M62="damaged"),"Quarantine","Returned")),IF(C62="issue","Issued",IF(C62="transfer","Moved",IF(C62="write_off","Written off",IF(C62="unfilled","Unfilled",""))))))))</f>
      </c>
      <c r="B62" s="31"/>
      <c r="C62" s="35"/>
      <c r="D62" s="33"/>
      <c r="E62" s="31"/>
      <c r="F62" s="31"/>
      <c r="G62" s="37">
        <f>IF(F62="","",IF(ISNA(MATCH(F62,'Item master'!$A$2:$A$301,0)),"Not in Item master",IFERROR(INDEX('Item master'!$B$2:$B$301,MATCH(F62,'Item master'!$A$2:$A$301,0))&amp;"","")))</f>
      </c>
      <c r="H62" s="34"/>
      <c r="I62" s="31"/>
      <c r="J62" s="31"/>
      <c r="K62" s="33"/>
      <c r="L62" s="31"/>
      <c r="M62" s="35"/>
      <c r="N62" s="30"/>
      <c r="O62" s="30"/>
      <c r="P62" s="36"/>
      <c r="Q62" s="38">
        <f>IF(OR(C62&lt;&gt;"loan",E62=""),"",IF(ISNA(MATCH(E62,Units!$A$2:$A$501,0)),"",IF(INDEX(Units!$E$2:$E$501,MATCH(E62,Units!$A$2:$A$501,0))="","",IF(K62="","No due date",IF(INT(K62)&gt;INDEX(Units!$E$2:$E$501,MATCH(E62,Units!$A$2:$A$501,0)),"Past cal date","OK")))))</f>
      </c>
      <c r="R62" s="37">
        <f>IF(A62="Overdue",K62+ROW()/10000000,"")</f>
      </c>
    </row>
    <row r="63">
      <c r="A63" s="38">
        <f>IF(C63="","",IF(B63="","Needs ID",IF(OR(C63="loan",C63="send_out"),IF(COUNTIF($L$2:$L$1001,B63)&gt;0,"Closed",IF(K63="","Open",IF(K63&lt;NOW(),"Overdue","Open"))),IF(C63="return",IF(OR(L63="",COUNTIF($B$2:$B$1001,L63)=0),"No match",IF(OR(M63="worn",M63="damaged"),"Quarantine","Returned")),IF(C63="issue","Issued",IF(C63="transfer","Moved",IF(C63="write_off","Written off",IF(C63="unfilled","Unfilled",""))))))))</f>
      </c>
      <c r="B63" s="31"/>
      <c r="C63" s="35"/>
      <c r="D63" s="33"/>
      <c r="E63" s="31"/>
      <c r="F63" s="31"/>
      <c r="G63" s="37">
        <f>IF(F63="","",IF(ISNA(MATCH(F63,'Item master'!$A$2:$A$301,0)),"Not in Item master",IFERROR(INDEX('Item master'!$B$2:$B$301,MATCH(F63,'Item master'!$A$2:$A$301,0))&amp;"","")))</f>
      </c>
      <c r="H63" s="34"/>
      <c r="I63" s="31"/>
      <c r="J63" s="31"/>
      <c r="K63" s="33"/>
      <c r="L63" s="31"/>
      <c r="M63" s="35"/>
      <c r="N63" s="30"/>
      <c r="O63" s="30"/>
      <c r="P63" s="36"/>
      <c r="Q63" s="38">
        <f>IF(OR(C63&lt;&gt;"loan",E63=""),"",IF(ISNA(MATCH(E63,Units!$A$2:$A$501,0)),"",IF(INDEX(Units!$E$2:$E$501,MATCH(E63,Units!$A$2:$A$501,0))="","",IF(K63="","No due date",IF(INT(K63)&gt;INDEX(Units!$E$2:$E$501,MATCH(E63,Units!$A$2:$A$501,0)),"Past cal date","OK")))))</f>
      </c>
      <c r="R63" s="37">
        <f>IF(A63="Overdue",K63+ROW()/10000000,"")</f>
      </c>
    </row>
    <row r="64">
      <c r="A64" s="38">
        <f>IF(C64="","",IF(B64="","Needs ID",IF(OR(C64="loan",C64="send_out"),IF(COUNTIF($L$2:$L$1001,B64)&gt;0,"Closed",IF(K64="","Open",IF(K64&lt;NOW(),"Overdue","Open"))),IF(C64="return",IF(OR(L64="",COUNTIF($B$2:$B$1001,L64)=0),"No match",IF(OR(M64="worn",M64="damaged"),"Quarantine","Returned")),IF(C64="issue","Issued",IF(C64="transfer","Moved",IF(C64="write_off","Written off",IF(C64="unfilled","Unfilled",""))))))))</f>
      </c>
      <c r="B64" s="31"/>
      <c r="C64" s="35"/>
      <c r="D64" s="33"/>
      <c r="E64" s="31"/>
      <c r="F64" s="31"/>
      <c r="G64" s="37">
        <f>IF(F64="","",IF(ISNA(MATCH(F64,'Item master'!$A$2:$A$301,0)),"Not in Item master",IFERROR(INDEX('Item master'!$B$2:$B$301,MATCH(F64,'Item master'!$A$2:$A$301,0))&amp;"","")))</f>
      </c>
      <c r="H64" s="34"/>
      <c r="I64" s="31"/>
      <c r="J64" s="31"/>
      <c r="K64" s="33"/>
      <c r="L64" s="31"/>
      <c r="M64" s="35"/>
      <c r="N64" s="30"/>
      <c r="O64" s="30"/>
      <c r="P64" s="36"/>
      <c r="Q64" s="38">
        <f>IF(OR(C64&lt;&gt;"loan",E64=""),"",IF(ISNA(MATCH(E64,Units!$A$2:$A$501,0)),"",IF(INDEX(Units!$E$2:$E$501,MATCH(E64,Units!$A$2:$A$501,0))="","",IF(K64="","No due date",IF(INT(K64)&gt;INDEX(Units!$E$2:$E$501,MATCH(E64,Units!$A$2:$A$501,0)),"Past cal date","OK")))))</f>
      </c>
      <c r="R64" s="37">
        <f>IF(A64="Overdue",K64+ROW()/10000000,"")</f>
      </c>
    </row>
    <row r="65">
      <c r="A65" s="38">
        <f>IF(C65="","",IF(B65="","Needs ID",IF(OR(C65="loan",C65="send_out"),IF(COUNTIF($L$2:$L$1001,B65)&gt;0,"Closed",IF(K65="","Open",IF(K65&lt;NOW(),"Overdue","Open"))),IF(C65="return",IF(OR(L65="",COUNTIF($B$2:$B$1001,L65)=0),"No match",IF(OR(M65="worn",M65="damaged"),"Quarantine","Returned")),IF(C65="issue","Issued",IF(C65="transfer","Moved",IF(C65="write_off","Written off",IF(C65="unfilled","Unfilled",""))))))))</f>
      </c>
      <c r="B65" s="31"/>
      <c r="C65" s="35"/>
      <c r="D65" s="33"/>
      <c r="E65" s="31"/>
      <c r="F65" s="31"/>
      <c r="G65" s="37">
        <f>IF(F65="","",IF(ISNA(MATCH(F65,'Item master'!$A$2:$A$301,0)),"Not in Item master",IFERROR(INDEX('Item master'!$B$2:$B$301,MATCH(F65,'Item master'!$A$2:$A$301,0))&amp;"","")))</f>
      </c>
      <c r="H65" s="34"/>
      <c r="I65" s="31"/>
      <c r="J65" s="31"/>
      <c r="K65" s="33"/>
      <c r="L65" s="31"/>
      <c r="M65" s="35"/>
      <c r="N65" s="30"/>
      <c r="O65" s="30"/>
      <c r="P65" s="36"/>
      <c r="Q65" s="38">
        <f>IF(OR(C65&lt;&gt;"loan",E65=""),"",IF(ISNA(MATCH(E65,Units!$A$2:$A$501,0)),"",IF(INDEX(Units!$E$2:$E$501,MATCH(E65,Units!$A$2:$A$501,0))="","",IF(K65="","No due date",IF(INT(K65)&gt;INDEX(Units!$E$2:$E$501,MATCH(E65,Units!$A$2:$A$501,0)),"Past cal date","OK")))))</f>
      </c>
      <c r="R65" s="37">
        <f>IF(A65="Overdue",K65+ROW()/10000000,"")</f>
      </c>
    </row>
    <row r="66">
      <c r="A66" s="38">
        <f>IF(C66="","",IF(B66="","Needs ID",IF(OR(C66="loan",C66="send_out"),IF(COUNTIF($L$2:$L$1001,B66)&gt;0,"Closed",IF(K66="","Open",IF(K66&lt;NOW(),"Overdue","Open"))),IF(C66="return",IF(OR(L66="",COUNTIF($B$2:$B$1001,L66)=0),"No match",IF(OR(M66="worn",M66="damaged"),"Quarantine","Returned")),IF(C66="issue","Issued",IF(C66="transfer","Moved",IF(C66="write_off","Written off",IF(C66="unfilled","Unfilled",""))))))))</f>
      </c>
      <c r="B66" s="31"/>
      <c r="C66" s="35"/>
      <c r="D66" s="33"/>
      <c r="E66" s="31"/>
      <c r="F66" s="31"/>
      <c r="G66" s="37">
        <f>IF(F66="","",IF(ISNA(MATCH(F66,'Item master'!$A$2:$A$301,0)),"Not in Item master",IFERROR(INDEX('Item master'!$B$2:$B$301,MATCH(F66,'Item master'!$A$2:$A$301,0))&amp;"","")))</f>
      </c>
      <c r="H66" s="34"/>
      <c r="I66" s="31"/>
      <c r="J66" s="31"/>
      <c r="K66" s="33"/>
      <c r="L66" s="31"/>
      <c r="M66" s="35"/>
      <c r="N66" s="30"/>
      <c r="O66" s="30"/>
      <c r="P66" s="36"/>
      <c r="Q66" s="38">
        <f>IF(OR(C66&lt;&gt;"loan",E66=""),"",IF(ISNA(MATCH(E66,Units!$A$2:$A$501,0)),"",IF(INDEX(Units!$E$2:$E$501,MATCH(E66,Units!$A$2:$A$501,0))="","",IF(K66="","No due date",IF(INT(K66)&gt;INDEX(Units!$E$2:$E$501,MATCH(E66,Units!$A$2:$A$501,0)),"Past cal date","OK")))))</f>
      </c>
      <c r="R66" s="37">
        <f>IF(A66="Overdue",K66+ROW()/10000000,"")</f>
      </c>
    </row>
    <row r="67">
      <c r="A67" s="38">
        <f>IF(C67="","",IF(B67="","Needs ID",IF(OR(C67="loan",C67="send_out"),IF(COUNTIF($L$2:$L$1001,B67)&gt;0,"Closed",IF(K67="","Open",IF(K67&lt;NOW(),"Overdue","Open"))),IF(C67="return",IF(OR(L67="",COUNTIF($B$2:$B$1001,L67)=0),"No match",IF(OR(M67="worn",M67="damaged"),"Quarantine","Returned")),IF(C67="issue","Issued",IF(C67="transfer","Moved",IF(C67="write_off","Written off",IF(C67="unfilled","Unfilled",""))))))))</f>
      </c>
      <c r="B67" s="31"/>
      <c r="C67" s="35"/>
      <c r="D67" s="33"/>
      <c r="E67" s="31"/>
      <c r="F67" s="31"/>
      <c r="G67" s="37">
        <f>IF(F67="","",IF(ISNA(MATCH(F67,'Item master'!$A$2:$A$301,0)),"Not in Item master",IFERROR(INDEX('Item master'!$B$2:$B$301,MATCH(F67,'Item master'!$A$2:$A$301,0))&amp;"","")))</f>
      </c>
      <c r="H67" s="34"/>
      <c r="I67" s="31"/>
      <c r="J67" s="31"/>
      <c r="K67" s="33"/>
      <c r="L67" s="31"/>
      <c r="M67" s="35"/>
      <c r="N67" s="30"/>
      <c r="O67" s="30"/>
      <c r="P67" s="36"/>
      <c r="Q67" s="38">
        <f>IF(OR(C67&lt;&gt;"loan",E67=""),"",IF(ISNA(MATCH(E67,Units!$A$2:$A$501,0)),"",IF(INDEX(Units!$E$2:$E$501,MATCH(E67,Units!$A$2:$A$501,0))="","",IF(K67="","No due date",IF(INT(K67)&gt;INDEX(Units!$E$2:$E$501,MATCH(E67,Units!$A$2:$A$501,0)),"Past cal date","OK")))))</f>
      </c>
      <c r="R67" s="37">
        <f>IF(A67="Overdue",K67+ROW()/10000000,"")</f>
      </c>
    </row>
    <row r="68">
      <c r="A68" s="38">
        <f>IF(C68="","",IF(B68="","Needs ID",IF(OR(C68="loan",C68="send_out"),IF(COUNTIF($L$2:$L$1001,B68)&gt;0,"Closed",IF(K68="","Open",IF(K68&lt;NOW(),"Overdue","Open"))),IF(C68="return",IF(OR(L68="",COUNTIF($B$2:$B$1001,L68)=0),"No match",IF(OR(M68="worn",M68="damaged"),"Quarantine","Returned")),IF(C68="issue","Issued",IF(C68="transfer","Moved",IF(C68="write_off","Written off",IF(C68="unfilled","Unfilled",""))))))))</f>
      </c>
      <c r="B68" s="31"/>
      <c r="C68" s="35"/>
      <c r="D68" s="33"/>
      <c r="E68" s="31"/>
      <c r="F68" s="31"/>
      <c r="G68" s="37">
        <f>IF(F68="","",IF(ISNA(MATCH(F68,'Item master'!$A$2:$A$301,0)),"Not in Item master",IFERROR(INDEX('Item master'!$B$2:$B$301,MATCH(F68,'Item master'!$A$2:$A$301,0))&amp;"","")))</f>
      </c>
      <c r="H68" s="34"/>
      <c r="I68" s="31"/>
      <c r="J68" s="31"/>
      <c r="K68" s="33"/>
      <c r="L68" s="31"/>
      <c r="M68" s="35"/>
      <c r="N68" s="30"/>
      <c r="O68" s="30"/>
      <c r="P68" s="36"/>
      <c r="Q68" s="38">
        <f>IF(OR(C68&lt;&gt;"loan",E68=""),"",IF(ISNA(MATCH(E68,Units!$A$2:$A$501,0)),"",IF(INDEX(Units!$E$2:$E$501,MATCH(E68,Units!$A$2:$A$501,0))="","",IF(K68="","No due date",IF(INT(K68)&gt;INDEX(Units!$E$2:$E$501,MATCH(E68,Units!$A$2:$A$501,0)),"Past cal date","OK")))))</f>
      </c>
      <c r="R68" s="37">
        <f>IF(A68="Overdue",K68+ROW()/10000000,"")</f>
      </c>
    </row>
    <row r="69">
      <c r="A69" s="38">
        <f>IF(C69="","",IF(B69="","Needs ID",IF(OR(C69="loan",C69="send_out"),IF(COUNTIF($L$2:$L$1001,B69)&gt;0,"Closed",IF(K69="","Open",IF(K69&lt;NOW(),"Overdue","Open"))),IF(C69="return",IF(OR(L69="",COUNTIF($B$2:$B$1001,L69)=0),"No match",IF(OR(M69="worn",M69="damaged"),"Quarantine","Returned")),IF(C69="issue","Issued",IF(C69="transfer","Moved",IF(C69="write_off","Written off",IF(C69="unfilled","Unfilled",""))))))))</f>
      </c>
      <c r="B69" s="31"/>
      <c r="C69" s="35"/>
      <c r="D69" s="33"/>
      <c r="E69" s="31"/>
      <c r="F69" s="31"/>
      <c r="G69" s="37">
        <f>IF(F69="","",IF(ISNA(MATCH(F69,'Item master'!$A$2:$A$301,0)),"Not in Item master",IFERROR(INDEX('Item master'!$B$2:$B$301,MATCH(F69,'Item master'!$A$2:$A$301,0))&amp;"","")))</f>
      </c>
      <c r="H69" s="34"/>
      <c r="I69" s="31"/>
      <c r="J69" s="31"/>
      <c r="K69" s="33"/>
      <c r="L69" s="31"/>
      <c r="M69" s="35"/>
      <c r="N69" s="30"/>
      <c r="O69" s="30"/>
      <c r="P69" s="36"/>
      <c r="Q69" s="38">
        <f>IF(OR(C69&lt;&gt;"loan",E69=""),"",IF(ISNA(MATCH(E69,Units!$A$2:$A$501,0)),"",IF(INDEX(Units!$E$2:$E$501,MATCH(E69,Units!$A$2:$A$501,0))="","",IF(K69="","No due date",IF(INT(K69)&gt;INDEX(Units!$E$2:$E$501,MATCH(E69,Units!$A$2:$A$501,0)),"Past cal date","OK")))))</f>
      </c>
      <c r="R69" s="37">
        <f>IF(A69="Overdue",K69+ROW()/10000000,"")</f>
      </c>
    </row>
    <row r="70">
      <c r="A70" s="38">
        <f>IF(C70="","",IF(B70="","Needs ID",IF(OR(C70="loan",C70="send_out"),IF(COUNTIF($L$2:$L$1001,B70)&gt;0,"Closed",IF(K70="","Open",IF(K70&lt;NOW(),"Overdue","Open"))),IF(C70="return",IF(OR(L70="",COUNTIF($B$2:$B$1001,L70)=0),"No match",IF(OR(M70="worn",M70="damaged"),"Quarantine","Returned")),IF(C70="issue","Issued",IF(C70="transfer","Moved",IF(C70="write_off","Written off",IF(C70="unfilled","Unfilled",""))))))))</f>
      </c>
      <c r="B70" s="31"/>
      <c r="C70" s="35"/>
      <c r="D70" s="33"/>
      <c r="E70" s="31"/>
      <c r="F70" s="31"/>
      <c r="G70" s="37">
        <f>IF(F70="","",IF(ISNA(MATCH(F70,'Item master'!$A$2:$A$301,0)),"Not in Item master",IFERROR(INDEX('Item master'!$B$2:$B$301,MATCH(F70,'Item master'!$A$2:$A$301,0))&amp;"","")))</f>
      </c>
      <c r="H70" s="34"/>
      <c r="I70" s="31"/>
      <c r="J70" s="31"/>
      <c r="K70" s="33"/>
      <c r="L70" s="31"/>
      <c r="M70" s="35"/>
      <c r="N70" s="30"/>
      <c r="O70" s="30"/>
      <c r="P70" s="36"/>
      <c r="Q70" s="38">
        <f>IF(OR(C70&lt;&gt;"loan",E70=""),"",IF(ISNA(MATCH(E70,Units!$A$2:$A$501,0)),"",IF(INDEX(Units!$E$2:$E$501,MATCH(E70,Units!$A$2:$A$501,0))="","",IF(K70="","No due date",IF(INT(K70)&gt;INDEX(Units!$E$2:$E$501,MATCH(E70,Units!$A$2:$A$501,0)),"Past cal date","OK")))))</f>
      </c>
      <c r="R70" s="37">
        <f>IF(A70="Overdue",K70+ROW()/10000000,"")</f>
      </c>
    </row>
    <row r="71">
      <c r="A71" s="38">
        <f>IF(C71="","",IF(B71="","Needs ID",IF(OR(C71="loan",C71="send_out"),IF(COUNTIF($L$2:$L$1001,B71)&gt;0,"Closed",IF(K71="","Open",IF(K71&lt;NOW(),"Overdue","Open"))),IF(C71="return",IF(OR(L71="",COUNTIF($B$2:$B$1001,L71)=0),"No match",IF(OR(M71="worn",M71="damaged"),"Quarantine","Returned")),IF(C71="issue","Issued",IF(C71="transfer","Moved",IF(C71="write_off","Written off",IF(C71="unfilled","Unfilled",""))))))))</f>
      </c>
      <c r="B71" s="31"/>
      <c r="C71" s="35"/>
      <c r="D71" s="33"/>
      <c r="E71" s="31"/>
      <c r="F71" s="31"/>
      <c r="G71" s="37">
        <f>IF(F71="","",IF(ISNA(MATCH(F71,'Item master'!$A$2:$A$301,0)),"Not in Item master",IFERROR(INDEX('Item master'!$B$2:$B$301,MATCH(F71,'Item master'!$A$2:$A$301,0))&amp;"","")))</f>
      </c>
      <c r="H71" s="34"/>
      <c r="I71" s="31"/>
      <c r="J71" s="31"/>
      <c r="K71" s="33"/>
      <c r="L71" s="31"/>
      <c r="M71" s="35"/>
      <c r="N71" s="30"/>
      <c r="O71" s="30"/>
      <c r="P71" s="36"/>
      <c r="Q71" s="38">
        <f>IF(OR(C71&lt;&gt;"loan",E71=""),"",IF(ISNA(MATCH(E71,Units!$A$2:$A$501,0)),"",IF(INDEX(Units!$E$2:$E$501,MATCH(E71,Units!$A$2:$A$501,0))="","",IF(K71="","No due date",IF(INT(K71)&gt;INDEX(Units!$E$2:$E$501,MATCH(E71,Units!$A$2:$A$501,0)),"Past cal date","OK")))))</f>
      </c>
      <c r="R71" s="37">
        <f>IF(A71="Overdue",K71+ROW()/10000000,"")</f>
      </c>
    </row>
    <row r="72">
      <c r="A72" s="38">
        <f>IF(C72="","",IF(B72="","Needs ID",IF(OR(C72="loan",C72="send_out"),IF(COUNTIF($L$2:$L$1001,B72)&gt;0,"Closed",IF(K72="","Open",IF(K72&lt;NOW(),"Overdue","Open"))),IF(C72="return",IF(OR(L72="",COUNTIF($B$2:$B$1001,L72)=0),"No match",IF(OR(M72="worn",M72="damaged"),"Quarantine","Returned")),IF(C72="issue","Issued",IF(C72="transfer","Moved",IF(C72="write_off","Written off",IF(C72="unfilled","Unfilled",""))))))))</f>
      </c>
      <c r="B72" s="31"/>
      <c r="C72" s="35"/>
      <c r="D72" s="33"/>
      <c r="E72" s="31"/>
      <c r="F72" s="31"/>
      <c r="G72" s="37">
        <f>IF(F72="","",IF(ISNA(MATCH(F72,'Item master'!$A$2:$A$301,0)),"Not in Item master",IFERROR(INDEX('Item master'!$B$2:$B$301,MATCH(F72,'Item master'!$A$2:$A$301,0))&amp;"","")))</f>
      </c>
      <c r="H72" s="34"/>
      <c r="I72" s="31"/>
      <c r="J72" s="31"/>
      <c r="K72" s="33"/>
      <c r="L72" s="31"/>
      <c r="M72" s="35"/>
      <c r="N72" s="30"/>
      <c r="O72" s="30"/>
      <c r="P72" s="36"/>
      <c r="Q72" s="38">
        <f>IF(OR(C72&lt;&gt;"loan",E72=""),"",IF(ISNA(MATCH(E72,Units!$A$2:$A$501,0)),"",IF(INDEX(Units!$E$2:$E$501,MATCH(E72,Units!$A$2:$A$501,0))="","",IF(K72="","No due date",IF(INT(K72)&gt;INDEX(Units!$E$2:$E$501,MATCH(E72,Units!$A$2:$A$501,0)),"Past cal date","OK")))))</f>
      </c>
      <c r="R72" s="37">
        <f>IF(A72="Overdue",K72+ROW()/10000000,"")</f>
      </c>
    </row>
    <row r="73">
      <c r="A73" s="38">
        <f>IF(C73="","",IF(B73="","Needs ID",IF(OR(C73="loan",C73="send_out"),IF(COUNTIF($L$2:$L$1001,B73)&gt;0,"Closed",IF(K73="","Open",IF(K73&lt;NOW(),"Overdue","Open"))),IF(C73="return",IF(OR(L73="",COUNTIF($B$2:$B$1001,L73)=0),"No match",IF(OR(M73="worn",M73="damaged"),"Quarantine","Returned")),IF(C73="issue","Issued",IF(C73="transfer","Moved",IF(C73="write_off","Written off",IF(C73="unfilled","Unfilled",""))))))))</f>
      </c>
      <c r="B73" s="31"/>
      <c r="C73" s="35"/>
      <c r="D73" s="33"/>
      <c r="E73" s="31"/>
      <c r="F73" s="31"/>
      <c r="G73" s="37">
        <f>IF(F73="","",IF(ISNA(MATCH(F73,'Item master'!$A$2:$A$301,0)),"Not in Item master",IFERROR(INDEX('Item master'!$B$2:$B$301,MATCH(F73,'Item master'!$A$2:$A$301,0))&amp;"","")))</f>
      </c>
      <c r="H73" s="34"/>
      <c r="I73" s="31"/>
      <c r="J73" s="31"/>
      <c r="K73" s="33"/>
      <c r="L73" s="31"/>
      <c r="M73" s="35"/>
      <c r="N73" s="30"/>
      <c r="O73" s="30"/>
      <c r="P73" s="36"/>
      <c r="Q73" s="38">
        <f>IF(OR(C73&lt;&gt;"loan",E73=""),"",IF(ISNA(MATCH(E73,Units!$A$2:$A$501,0)),"",IF(INDEX(Units!$E$2:$E$501,MATCH(E73,Units!$A$2:$A$501,0))="","",IF(K73="","No due date",IF(INT(K73)&gt;INDEX(Units!$E$2:$E$501,MATCH(E73,Units!$A$2:$A$501,0)),"Past cal date","OK")))))</f>
      </c>
      <c r="R73" s="37">
        <f>IF(A73="Overdue",K73+ROW()/10000000,"")</f>
      </c>
    </row>
    <row r="74">
      <c r="A74" s="38">
        <f>IF(C74="","",IF(B74="","Needs ID",IF(OR(C74="loan",C74="send_out"),IF(COUNTIF($L$2:$L$1001,B74)&gt;0,"Closed",IF(K74="","Open",IF(K74&lt;NOW(),"Overdue","Open"))),IF(C74="return",IF(OR(L74="",COUNTIF($B$2:$B$1001,L74)=0),"No match",IF(OR(M74="worn",M74="damaged"),"Quarantine","Returned")),IF(C74="issue","Issued",IF(C74="transfer","Moved",IF(C74="write_off","Written off",IF(C74="unfilled","Unfilled",""))))))))</f>
      </c>
      <c r="B74" s="31"/>
      <c r="C74" s="35"/>
      <c r="D74" s="33"/>
      <c r="E74" s="31"/>
      <c r="F74" s="31"/>
      <c r="G74" s="37">
        <f>IF(F74="","",IF(ISNA(MATCH(F74,'Item master'!$A$2:$A$301,0)),"Not in Item master",IFERROR(INDEX('Item master'!$B$2:$B$301,MATCH(F74,'Item master'!$A$2:$A$301,0))&amp;"","")))</f>
      </c>
      <c r="H74" s="34"/>
      <c r="I74" s="31"/>
      <c r="J74" s="31"/>
      <c r="K74" s="33"/>
      <c r="L74" s="31"/>
      <c r="M74" s="35"/>
      <c r="N74" s="30"/>
      <c r="O74" s="30"/>
      <c r="P74" s="36"/>
      <c r="Q74" s="38">
        <f>IF(OR(C74&lt;&gt;"loan",E74=""),"",IF(ISNA(MATCH(E74,Units!$A$2:$A$501,0)),"",IF(INDEX(Units!$E$2:$E$501,MATCH(E74,Units!$A$2:$A$501,0))="","",IF(K74="","No due date",IF(INT(K74)&gt;INDEX(Units!$E$2:$E$501,MATCH(E74,Units!$A$2:$A$501,0)),"Past cal date","OK")))))</f>
      </c>
      <c r="R74" s="37">
        <f>IF(A74="Overdue",K74+ROW()/10000000,"")</f>
      </c>
    </row>
    <row r="75">
      <c r="A75" s="38">
        <f>IF(C75="","",IF(B75="","Needs ID",IF(OR(C75="loan",C75="send_out"),IF(COUNTIF($L$2:$L$1001,B75)&gt;0,"Closed",IF(K75="","Open",IF(K75&lt;NOW(),"Overdue","Open"))),IF(C75="return",IF(OR(L75="",COUNTIF($B$2:$B$1001,L75)=0),"No match",IF(OR(M75="worn",M75="damaged"),"Quarantine","Returned")),IF(C75="issue","Issued",IF(C75="transfer","Moved",IF(C75="write_off","Written off",IF(C75="unfilled","Unfilled",""))))))))</f>
      </c>
      <c r="B75" s="31"/>
      <c r="C75" s="35"/>
      <c r="D75" s="33"/>
      <c r="E75" s="31"/>
      <c r="F75" s="31"/>
      <c r="G75" s="37">
        <f>IF(F75="","",IF(ISNA(MATCH(F75,'Item master'!$A$2:$A$301,0)),"Not in Item master",IFERROR(INDEX('Item master'!$B$2:$B$301,MATCH(F75,'Item master'!$A$2:$A$301,0))&amp;"","")))</f>
      </c>
      <c r="H75" s="34"/>
      <c r="I75" s="31"/>
      <c r="J75" s="31"/>
      <c r="K75" s="33"/>
      <c r="L75" s="31"/>
      <c r="M75" s="35"/>
      <c r="N75" s="30"/>
      <c r="O75" s="30"/>
      <c r="P75" s="36"/>
      <c r="Q75" s="38">
        <f>IF(OR(C75&lt;&gt;"loan",E75=""),"",IF(ISNA(MATCH(E75,Units!$A$2:$A$501,0)),"",IF(INDEX(Units!$E$2:$E$501,MATCH(E75,Units!$A$2:$A$501,0))="","",IF(K75="","No due date",IF(INT(K75)&gt;INDEX(Units!$E$2:$E$501,MATCH(E75,Units!$A$2:$A$501,0)),"Past cal date","OK")))))</f>
      </c>
      <c r="R75" s="37">
        <f>IF(A75="Overdue",K75+ROW()/10000000,"")</f>
      </c>
    </row>
    <row r="76">
      <c r="A76" s="38">
        <f>IF(C76="","",IF(B76="","Needs ID",IF(OR(C76="loan",C76="send_out"),IF(COUNTIF($L$2:$L$1001,B76)&gt;0,"Closed",IF(K76="","Open",IF(K76&lt;NOW(),"Overdue","Open"))),IF(C76="return",IF(OR(L76="",COUNTIF($B$2:$B$1001,L76)=0),"No match",IF(OR(M76="worn",M76="damaged"),"Quarantine","Returned")),IF(C76="issue","Issued",IF(C76="transfer","Moved",IF(C76="write_off","Written off",IF(C76="unfilled","Unfilled",""))))))))</f>
      </c>
      <c r="B76" s="31"/>
      <c r="C76" s="35"/>
      <c r="D76" s="33"/>
      <c r="E76" s="31"/>
      <c r="F76" s="31"/>
      <c r="G76" s="37">
        <f>IF(F76="","",IF(ISNA(MATCH(F76,'Item master'!$A$2:$A$301,0)),"Not in Item master",IFERROR(INDEX('Item master'!$B$2:$B$301,MATCH(F76,'Item master'!$A$2:$A$301,0))&amp;"","")))</f>
      </c>
      <c r="H76" s="34"/>
      <c r="I76" s="31"/>
      <c r="J76" s="31"/>
      <c r="K76" s="33"/>
      <c r="L76" s="31"/>
      <c r="M76" s="35"/>
      <c r="N76" s="30"/>
      <c r="O76" s="30"/>
      <c r="P76" s="36"/>
      <c r="Q76" s="38">
        <f>IF(OR(C76&lt;&gt;"loan",E76=""),"",IF(ISNA(MATCH(E76,Units!$A$2:$A$501,0)),"",IF(INDEX(Units!$E$2:$E$501,MATCH(E76,Units!$A$2:$A$501,0))="","",IF(K76="","No due date",IF(INT(K76)&gt;INDEX(Units!$E$2:$E$501,MATCH(E76,Units!$A$2:$A$501,0)),"Past cal date","OK")))))</f>
      </c>
      <c r="R76" s="37">
        <f>IF(A76="Overdue",K76+ROW()/10000000,"")</f>
      </c>
    </row>
    <row r="77">
      <c r="A77" s="38">
        <f>IF(C77="","",IF(B77="","Needs ID",IF(OR(C77="loan",C77="send_out"),IF(COUNTIF($L$2:$L$1001,B77)&gt;0,"Closed",IF(K77="","Open",IF(K77&lt;NOW(),"Overdue","Open"))),IF(C77="return",IF(OR(L77="",COUNTIF($B$2:$B$1001,L77)=0),"No match",IF(OR(M77="worn",M77="damaged"),"Quarantine","Returned")),IF(C77="issue","Issued",IF(C77="transfer","Moved",IF(C77="write_off","Written off",IF(C77="unfilled","Unfilled",""))))))))</f>
      </c>
      <c r="B77" s="31"/>
      <c r="C77" s="35"/>
      <c r="D77" s="33"/>
      <c r="E77" s="31"/>
      <c r="F77" s="31"/>
      <c r="G77" s="37">
        <f>IF(F77="","",IF(ISNA(MATCH(F77,'Item master'!$A$2:$A$301,0)),"Not in Item master",IFERROR(INDEX('Item master'!$B$2:$B$301,MATCH(F77,'Item master'!$A$2:$A$301,0))&amp;"","")))</f>
      </c>
      <c r="H77" s="34"/>
      <c r="I77" s="31"/>
      <c r="J77" s="31"/>
      <c r="K77" s="33"/>
      <c r="L77" s="31"/>
      <c r="M77" s="35"/>
      <c r="N77" s="30"/>
      <c r="O77" s="30"/>
      <c r="P77" s="36"/>
      <c r="Q77" s="38">
        <f>IF(OR(C77&lt;&gt;"loan",E77=""),"",IF(ISNA(MATCH(E77,Units!$A$2:$A$501,0)),"",IF(INDEX(Units!$E$2:$E$501,MATCH(E77,Units!$A$2:$A$501,0))="","",IF(K77="","No due date",IF(INT(K77)&gt;INDEX(Units!$E$2:$E$501,MATCH(E77,Units!$A$2:$A$501,0)),"Past cal date","OK")))))</f>
      </c>
      <c r="R77" s="37">
        <f>IF(A77="Overdue",K77+ROW()/10000000,"")</f>
      </c>
    </row>
    <row r="78">
      <c r="A78" s="38">
        <f>IF(C78="","",IF(B78="","Needs ID",IF(OR(C78="loan",C78="send_out"),IF(COUNTIF($L$2:$L$1001,B78)&gt;0,"Closed",IF(K78="","Open",IF(K78&lt;NOW(),"Overdue","Open"))),IF(C78="return",IF(OR(L78="",COUNTIF($B$2:$B$1001,L78)=0),"No match",IF(OR(M78="worn",M78="damaged"),"Quarantine","Returned")),IF(C78="issue","Issued",IF(C78="transfer","Moved",IF(C78="write_off","Written off",IF(C78="unfilled","Unfilled",""))))))))</f>
      </c>
      <c r="B78" s="31"/>
      <c r="C78" s="35"/>
      <c r="D78" s="33"/>
      <c r="E78" s="31"/>
      <c r="F78" s="31"/>
      <c r="G78" s="37">
        <f>IF(F78="","",IF(ISNA(MATCH(F78,'Item master'!$A$2:$A$301,0)),"Not in Item master",IFERROR(INDEX('Item master'!$B$2:$B$301,MATCH(F78,'Item master'!$A$2:$A$301,0))&amp;"","")))</f>
      </c>
      <c r="H78" s="34"/>
      <c r="I78" s="31"/>
      <c r="J78" s="31"/>
      <c r="K78" s="33"/>
      <c r="L78" s="31"/>
      <c r="M78" s="35"/>
      <c r="N78" s="30"/>
      <c r="O78" s="30"/>
      <c r="P78" s="36"/>
      <c r="Q78" s="38">
        <f>IF(OR(C78&lt;&gt;"loan",E78=""),"",IF(ISNA(MATCH(E78,Units!$A$2:$A$501,0)),"",IF(INDEX(Units!$E$2:$E$501,MATCH(E78,Units!$A$2:$A$501,0))="","",IF(K78="","No due date",IF(INT(K78)&gt;INDEX(Units!$E$2:$E$501,MATCH(E78,Units!$A$2:$A$501,0)),"Past cal date","OK")))))</f>
      </c>
      <c r="R78" s="37">
        <f>IF(A78="Overdue",K78+ROW()/10000000,"")</f>
      </c>
    </row>
    <row r="79">
      <c r="A79" s="38">
        <f>IF(C79="","",IF(B79="","Needs ID",IF(OR(C79="loan",C79="send_out"),IF(COUNTIF($L$2:$L$1001,B79)&gt;0,"Closed",IF(K79="","Open",IF(K79&lt;NOW(),"Overdue","Open"))),IF(C79="return",IF(OR(L79="",COUNTIF($B$2:$B$1001,L79)=0),"No match",IF(OR(M79="worn",M79="damaged"),"Quarantine","Returned")),IF(C79="issue","Issued",IF(C79="transfer","Moved",IF(C79="write_off","Written off",IF(C79="unfilled","Unfilled",""))))))))</f>
      </c>
      <c r="B79" s="31"/>
      <c r="C79" s="35"/>
      <c r="D79" s="33"/>
      <c r="E79" s="31"/>
      <c r="F79" s="31"/>
      <c r="G79" s="37">
        <f>IF(F79="","",IF(ISNA(MATCH(F79,'Item master'!$A$2:$A$301,0)),"Not in Item master",IFERROR(INDEX('Item master'!$B$2:$B$301,MATCH(F79,'Item master'!$A$2:$A$301,0))&amp;"","")))</f>
      </c>
      <c r="H79" s="34"/>
      <c r="I79" s="31"/>
      <c r="J79" s="31"/>
      <c r="K79" s="33"/>
      <c r="L79" s="31"/>
      <c r="M79" s="35"/>
      <c r="N79" s="30"/>
      <c r="O79" s="30"/>
      <c r="P79" s="36"/>
      <c r="Q79" s="38">
        <f>IF(OR(C79&lt;&gt;"loan",E79=""),"",IF(ISNA(MATCH(E79,Units!$A$2:$A$501,0)),"",IF(INDEX(Units!$E$2:$E$501,MATCH(E79,Units!$A$2:$A$501,0))="","",IF(K79="","No due date",IF(INT(K79)&gt;INDEX(Units!$E$2:$E$501,MATCH(E79,Units!$A$2:$A$501,0)),"Past cal date","OK")))))</f>
      </c>
      <c r="R79" s="37">
        <f>IF(A79="Overdue",K79+ROW()/10000000,"")</f>
      </c>
    </row>
    <row r="80">
      <c r="A80" s="38">
        <f>IF(C80="","",IF(B80="","Needs ID",IF(OR(C80="loan",C80="send_out"),IF(COUNTIF($L$2:$L$1001,B80)&gt;0,"Closed",IF(K80="","Open",IF(K80&lt;NOW(),"Overdue","Open"))),IF(C80="return",IF(OR(L80="",COUNTIF($B$2:$B$1001,L80)=0),"No match",IF(OR(M80="worn",M80="damaged"),"Quarantine","Returned")),IF(C80="issue","Issued",IF(C80="transfer","Moved",IF(C80="write_off","Written off",IF(C80="unfilled","Unfilled",""))))))))</f>
      </c>
      <c r="B80" s="31"/>
      <c r="C80" s="35"/>
      <c r="D80" s="33"/>
      <c r="E80" s="31"/>
      <c r="F80" s="31"/>
      <c r="G80" s="37">
        <f>IF(F80="","",IF(ISNA(MATCH(F80,'Item master'!$A$2:$A$301,0)),"Not in Item master",IFERROR(INDEX('Item master'!$B$2:$B$301,MATCH(F80,'Item master'!$A$2:$A$301,0))&amp;"","")))</f>
      </c>
      <c r="H80" s="34"/>
      <c r="I80" s="31"/>
      <c r="J80" s="31"/>
      <c r="K80" s="33"/>
      <c r="L80" s="31"/>
      <c r="M80" s="35"/>
      <c r="N80" s="30"/>
      <c r="O80" s="30"/>
      <c r="P80" s="36"/>
      <c r="Q80" s="38">
        <f>IF(OR(C80&lt;&gt;"loan",E80=""),"",IF(ISNA(MATCH(E80,Units!$A$2:$A$501,0)),"",IF(INDEX(Units!$E$2:$E$501,MATCH(E80,Units!$A$2:$A$501,0))="","",IF(K80="","No due date",IF(INT(K80)&gt;INDEX(Units!$E$2:$E$501,MATCH(E80,Units!$A$2:$A$501,0)),"Past cal date","OK")))))</f>
      </c>
      <c r="R80" s="37">
        <f>IF(A80="Overdue",K80+ROW()/10000000,"")</f>
      </c>
    </row>
    <row r="81">
      <c r="A81" s="38">
        <f>IF(C81="","",IF(B81="","Needs ID",IF(OR(C81="loan",C81="send_out"),IF(COUNTIF($L$2:$L$1001,B81)&gt;0,"Closed",IF(K81="","Open",IF(K81&lt;NOW(),"Overdue","Open"))),IF(C81="return",IF(OR(L81="",COUNTIF($B$2:$B$1001,L81)=0),"No match",IF(OR(M81="worn",M81="damaged"),"Quarantine","Returned")),IF(C81="issue","Issued",IF(C81="transfer","Moved",IF(C81="write_off","Written off",IF(C81="unfilled","Unfilled",""))))))))</f>
      </c>
      <c r="B81" s="31"/>
      <c r="C81" s="35"/>
      <c r="D81" s="33"/>
      <c r="E81" s="31"/>
      <c r="F81" s="31"/>
      <c r="G81" s="37">
        <f>IF(F81="","",IF(ISNA(MATCH(F81,'Item master'!$A$2:$A$301,0)),"Not in Item master",IFERROR(INDEX('Item master'!$B$2:$B$301,MATCH(F81,'Item master'!$A$2:$A$301,0))&amp;"","")))</f>
      </c>
      <c r="H81" s="34"/>
      <c r="I81" s="31"/>
      <c r="J81" s="31"/>
      <c r="K81" s="33"/>
      <c r="L81" s="31"/>
      <c r="M81" s="35"/>
      <c r="N81" s="30"/>
      <c r="O81" s="30"/>
      <c r="P81" s="36"/>
      <c r="Q81" s="38">
        <f>IF(OR(C81&lt;&gt;"loan",E81=""),"",IF(ISNA(MATCH(E81,Units!$A$2:$A$501,0)),"",IF(INDEX(Units!$E$2:$E$501,MATCH(E81,Units!$A$2:$A$501,0))="","",IF(K81="","No due date",IF(INT(K81)&gt;INDEX(Units!$E$2:$E$501,MATCH(E81,Units!$A$2:$A$501,0)),"Past cal date","OK")))))</f>
      </c>
      <c r="R81" s="37">
        <f>IF(A81="Overdue",K81+ROW()/10000000,"")</f>
      </c>
    </row>
    <row r="82">
      <c r="A82" s="38">
        <f>IF(C82="","",IF(B82="","Needs ID",IF(OR(C82="loan",C82="send_out"),IF(COUNTIF($L$2:$L$1001,B82)&gt;0,"Closed",IF(K82="","Open",IF(K82&lt;NOW(),"Overdue","Open"))),IF(C82="return",IF(OR(L82="",COUNTIF($B$2:$B$1001,L82)=0),"No match",IF(OR(M82="worn",M82="damaged"),"Quarantine","Returned")),IF(C82="issue","Issued",IF(C82="transfer","Moved",IF(C82="write_off","Written off",IF(C82="unfilled","Unfilled",""))))))))</f>
      </c>
      <c r="B82" s="31"/>
      <c r="C82" s="35"/>
      <c r="D82" s="33"/>
      <c r="E82" s="31"/>
      <c r="F82" s="31"/>
      <c r="G82" s="37">
        <f>IF(F82="","",IF(ISNA(MATCH(F82,'Item master'!$A$2:$A$301,0)),"Not in Item master",IFERROR(INDEX('Item master'!$B$2:$B$301,MATCH(F82,'Item master'!$A$2:$A$301,0))&amp;"","")))</f>
      </c>
      <c r="H82" s="34"/>
      <c r="I82" s="31"/>
      <c r="J82" s="31"/>
      <c r="K82" s="33"/>
      <c r="L82" s="31"/>
      <c r="M82" s="35"/>
      <c r="N82" s="30"/>
      <c r="O82" s="30"/>
      <c r="P82" s="36"/>
      <c r="Q82" s="38">
        <f>IF(OR(C82&lt;&gt;"loan",E82=""),"",IF(ISNA(MATCH(E82,Units!$A$2:$A$501,0)),"",IF(INDEX(Units!$E$2:$E$501,MATCH(E82,Units!$A$2:$A$501,0))="","",IF(K82="","No due date",IF(INT(K82)&gt;INDEX(Units!$E$2:$E$501,MATCH(E82,Units!$A$2:$A$501,0)),"Past cal date","OK")))))</f>
      </c>
      <c r="R82" s="37">
        <f>IF(A82="Overdue",K82+ROW()/10000000,"")</f>
      </c>
    </row>
    <row r="83">
      <c r="A83" s="38">
        <f>IF(C83="","",IF(B83="","Needs ID",IF(OR(C83="loan",C83="send_out"),IF(COUNTIF($L$2:$L$1001,B83)&gt;0,"Closed",IF(K83="","Open",IF(K83&lt;NOW(),"Overdue","Open"))),IF(C83="return",IF(OR(L83="",COUNTIF($B$2:$B$1001,L83)=0),"No match",IF(OR(M83="worn",M83="damaged"),"Quarantine","Returned")),IF(C83="issue","Issued",IF(C83="transfer","Moved",IF(C83="write_off","Written off",IF(C83="unfilled","Unfilled",""))))))))</f>
      </c>
      <c r="B83" s="31"/>
      <c r="C83" s="35"/>
      <c r="D83" s="33"/>
      <c r="E83" s="31"/>
      <c r="F83" s="31"/>
      <c r="G83" s="37">
        <f>IF(F83="","",IF(ISNA(MATCH(F83,'Item master'!$A$2:$A$301,0)),"Not in Item master",IFERROR(INDEX('Item master'!$B$2:$B$301,MATCH(F83,'Item master'!$A$2:$A$301,0))&amp;"","")))</f>
      </c>
      <c r="H83" s="34"/>
      <c r="I83" s="31"/>
      <c r="J83" s="31"/>
      <c r="K83" s="33"/>
      <c r="L83" s="31"/>
      <c r="M83" s="35"/>
      <c r="N83" s="30"/>
      <c r="O83" s="30"/>
      <c r="P83" s="36"/>
      <c r="Q83" s="38">
        <f>IF(OR(C83&lt;&gt;"loan",E83=""),"",IF(ISNA(MATCH(E83,Units!$A$2:$A$501,0)),"",IF(INDEX(Units!$E$2:$E$501,MATCH(E83,Units!$A$2:$A$501,0))="","",IF(K83="","No due date",IF(INT(K83)&gt;INDEX(Units!$E$2:$E$501,MATCH(E83,Units!$A$2:$A$501,0)),"Past cal date","OK")))))</f>
      </c>
      <c r="R83" s="37">
        <f>IF(A83="Overdue",K83+ROW()/10000000,"")</f>
      </c>
    </row>
    <row r="84">
      <c r="A84" s="38">
        <f>IF(C84="","",IF(B84="","Needs ID",IF(OR(C84="loan",C84="send_out"),IF(COUNTIF($L$2:$L$1001,B84)&gt;0,"Closed",IF(K84="","Open",IF(K84&lt;NOW(),"Overdue","Open"))),IF(C84="return",IF(OR(L84="",COUNTIF($B$2:$B$1001,L84)=0),"No match",IF(OR(M84="worn",M84="damaged"),"Quarantine","Returned")),IF(C84="issue","Issued",IF(C84="transfer","Moved",IF(C84="write_off","Written off",IF(C84="unfilled","Unfilled",""))))))))</f>
      </c>
      <c r="B84" s="31"/>
      <c r="C84" s="35"/>
      <c r="D84" s="33"/>
      <c r="E84" s="31"/>
      <c r="F84" s="31"/>
      <c r="G84" s="37">
        <f>IF(F84="","",IF(ISNA(MATCH(F84,'Item master'!$A$2:$A$301,0)),"Not in Item master",IFERROR(INDEX('Item master'!$B$2:$B$301,MATCH(F84,'Item master'!$A$2:$A$301,0))&amp;"","")))</f>
      </c>
      <c r="H84" s="34"/>
      <c r="I84" s="31"/>
      <c r="J84" s="31"/>
      <c r="K84" s="33"/>
      <c r="L84" s="31"/>
      <c r="M84" s="35"/>
      <c r="N84" s="30"/>
      <c r="O84" s="30"/>
      <c r="P84" s="36"/>
      <c r="Q84" s="38">
        <f>IF(OR(C84&lt;&gt;"loan",E84=""),"",IF(ISNA(MATCH(E84,Units!$A$2:$A$501,0)),"",IF(INDEX(Units!$E$2:$E$501,MATCH(E84,Units!$A$2:$A$501,0))="","",IF(K84="","No due date",IF(INT(K84)&gt;INDEX(Units!$E$2:$E$501,MATCH(E84,Units!$A$2:$A$501,0)),"Past cal date","OK")))))</f>
      </c>
      <c r="R84" s="37">
        <f>IF(A84="Overdue",K84+ROW()/10000000,"")</f>
      </c>
    </row>
    <row r="85">
      <c r="A85" s="38">
        <f>IF(C85="","",IF(B85="","Needs ID",IF(OR(C85="loan",C85="send_out"),IF(COUNTIF($L$2:$L$1001,B85)&gt;0,"Closed",IF(K85="","Open",IF(K85&lt;NOW(),"Overdue","Open"))),IF(C85="return",IF(OR(L85="",COUNTIF($B$2:$B$1001,L85)=0),"No match",IF(OR(M85="worn",M85="damaged"),"Quarantine","Returned")),IF(C85="issue","Issued",IF(C85="transfer","Moved",IF(C85="write_off","Written off",IF(C85="unfilled","Unfilled",""))))))))</f>
      </c>
      <c r="B85" s="31"/>
      <c r="C85" s="35"/>
      <c r="D85" s="33"/>
      <c r="E85" s="31"/>
      <c r="F85" s="31"/>
      <c r="G85" s="37">
        <f>IF(F85="","",IF(ISNA(MATCH(F85,'Item master'!$A$2:$A$301,0)),"Not in Item master",IFERROR(INDEX('Item master'!$B$2:$B$301,MATCH(F85,'Item master'!$A$2:$A$301,0))&amp;"","")))</f>
      </c>
      <c r="H85" s="34"/>
      <c r="I85" s="31"/>
      <c r="J85" s="31"/>
      <c r="K85" s="33"/>
      <c r="L85" s="31"/>
      <c r="M85" s="35"/>
      <c r="N85" s="30"/>
      <c r="O85" s="30"/>
      <c r="P85" s="36"/>
      <c r="Q85" s="38">
        <f>IF(OR(C85&lt;&gt;"loan",E85=""),"",IF(ISNA(MATCH(E85,Units!$A$2:$A$501,0)),"",IF(INDEX(Units!$E$2:$E$501,MATCH(E85,Units!$A$2:$A$501,0))="","",IF(K85="","No due date",IF(INT(K85)&gt;INDEX(Units!$E$2:$E$501,MATCH(E85,Units!$A$2:$A$501,0)),"Past cal date","OK")))))</f>
      </c>
      <c r="R85" s="37">
        <f>IF(A85="Overdue",K85+ROW()/10000000,"")</f>
      </c>
    </row>
    <row r="86">
      <c r="A86" s="38">
        <f>IF(C86="","",IF(B86="","Needs ID",IF(OR(C86="loan",C86="send_out"),IF(COUNTIF($L$2:$L$1001,B86)&gt;0,"Closed",IF(K86="","Open",IF(K86&lt;NOW(),"Overdue","Open"))),IF(C86="return",IF(OR(L86="",COUNTIF($B$2:$B$1001,L86)=0),"No match",IF(OR(M86="worn",M86="damaged"),"Quarantine","Returned")),IF(C86="issue","Issued",IF(C86="transfer","Moved",IF(C86="write_off","Written off",IF(C86="unfilled","Unfilled",""))))))))</f>
      </c>
      <c r="B86" s="31"/>
      <c r="C86" s="35"/>
      <c r="D86" s="33"/>
      <c r="E86" s="31"/>
      <c r="F86" s="31"/>
      <c r="G86" s="37">
        <f>IF(F86="","",IF(ISNA(MATCH(F86,'Item master'!$A$2:$A$301,0)),"Not in Item master",IFERROR(INDEX('Item master'!$B$2:$B$301,MATCH(F86,'Item master'!$A$2:$A$301,0))&amp;"","")))</f>
      </c>
      <c r="H86" s="34"/>
      <c r="I86" s="31"/>
      <c r="J86" s="31"/>
      <c r="K86" s="33"/>
      <c r="L86" s="31"/>
      <c r="M86" s="35"/>
      <c r="N86" s="30"/>
      <c r="O86" s="30"/>
      <c r="P86" s="36"/>
      <c r="Q86" s="38">
        <f>IF(OR(C86&lt;&gt;"loan",E86=""),"",IF(ISNA(MATCH(E86,Units!$A$2:$A$501,0)),"",IF(INDEX(Units!$E$2:$E$501,MATCH(E86,Units!$A$2:$A$501,0))="","",IF(K86="","No due date",IF(INT(K86)&gt;INDEX(Units!$E$2:$E$501,MATCH(E86,Units!$A$2:$A$501,0)),"Past cal date","OK")))))</f>
      </c>
      <c r="R86" s="37">
        <f>IF(A86="Overdue",K86+ROW()/10000000,"")</f>
      </c>
    </row>
    <row r="87">
      <c r="A87" s="38">
        <f>IF(C87="","",IF(B87="","Needs ID",IF(OR(C87="loan",C87="send_out"),IF(COUNTIF($L$2:$L$1001,B87)&gt;0,"Closed",IF(K87="","Open",IF(K87&lt;NOW(),"Overdue","Open"))),IF(C87="return",IF(OR(L87="",COUNTIF($B$2:$B$1001,L87)=0),"No match",IF(OR(M87="worn",M87="damaged"),"Quarantine","Returned")),IF(C87="issue","Issued",IF(C87="transfer","Moved",IF(C87="write_off","Written off",IF(C87="unfilled","Unfilled",""))))))))</f>
      </c>
      <c r="B87" s="31"/>
      <c r="C87" s="35"/>
      <c r="D87" s="33"/>
      <c r="E87" s="31"/>
      <c r="F87" s="31"/>
      <c r="G87" s="37">
        <f>IF(F87="","",IF(ISNA(MATCH(F87,'Item master'!$A$2:$A$301,0)),"Not in Item master",IFERROR(INDEX('Item master'!$B$2:$B$301,MATCH(F87,'Item master'!$A$2:$A$301,0))&amp;"","")))</f>
      </c>
      <c r="H87" s="34"/>
      <c r="I87" s="31"/>
      <c r="J87" s="31"/>
      <c r="K87" s="33"/>
      <c r="L87" s="31"/>
      <c r="M87" s="35"/>
      <c r="N87" s="30"/>
      <c r="O87" s="30"/>
      <c r="P87" s="36"/>
      <c r="Q87" s="38">
        <f>IF(OR(C87&lt;&gt;"loan",E87=""),"",IF(ISNA(MATCH(E87,Units!$A$2:$A$501,0)),"",IF(INDEX(Units!$E$2:$E$501,MATCH(E87,Units!$A$2:$A$501,0))="","",IF(K87="","No due date",IF(INT(K87)&gt;INDEX(Units!$E$2:$E$501,MATCH(E87,Units!$A$2:$A$501,0)),"Past cal date","OK")))))</f>
      </c>
      <c r="R87" s="37">
        <f>IF(A87="Overdue",K87+ROW()/10000000,"")</f>
      </c>
    </row>
    <row r="88">
      <c r="A88" s="38">
        <f>IF(C88="","",IF(B88="","Needs ID",IF(OR(C88="loan",C88="send_out"),IF(COUNTIF($L$2:$L$1001,B88)&gt;0,"Closed",IF(K88="","Open",IF(K88&lt;NOW(),"Overdue","Open"))),IF(C88="return",IF(OR(L88="",COUNTIF($B$2:$B$1001,L88)=0),"No match",IF(OR(M88="worn",M88="damaged"),"Quarantine","Returned")),IF(C88="issue","Issued",IF(C88="transfer","Moved",IF(C88="write_off","Written off",IF(C88="unfilled","Unfilled",""))))))))</f>
      </c>
      <c r="B88" s="31"/>
      <c r="C88" s="35"/>
      <c r="D88" s="33"/>
      <c r="E88" s="31"/>
      <c r="F88" s="31"/>
      <c r="G88" s="37">
        <f>IF(F88="","",IF(ISNA(MATCH(F88,'Item master'!$A$2:$A$301,0)),"Not in Item master",IFERROR(INDEX('Item master'!$B$2:$B$301,MATCH(F88,'Item master'!$A$2:$A$301,0))&amp;"","")))</f>
      </c>
      <c r="H88" s="34"/>
      <c r="I88" s="31"/>
      <c r="J88" s="31"/>
      <c r="K88" s="33"/>
      <c r="L88" s="31"/>
      <c r="M88" s="35"/>
      <c r="N88" s="30"/>
      <c r="O88" s="30"/>
      <c r="P88" s="36"/>
      <c r="Q88" s="38">
        <f>IF(OR(C88&lt;&gt;"loan",E88=""),"",IF(ISNA(MATCH(E88,Units!$A$2:$A$501,0)),"",IF(INDEX(Units!$E$2:$E$501,MATCH(E88,Units!$A$2:$A$501,0))="","",IF(K88="","No due date",IF(INT(K88)&gt;INDEX(Units!$E$2:$E$501,MATCH(E88,Units!$A$2:$A$501,0)),"Past cal date","OK")))))</f>
      </c>
      <c r="R88" s="37">
        <f>IF(A88="Overdue",K88+ROW()/10000000,"")</f>
      </c>
    </row>
    <row r="89">
      <c r="A89" s="38">
        <f>IF(C89="","",IF(B89="","Needs ID",IF(OR(C89="loan",C89="send_out"),IF(COUNTIF($L$2:$L$1001,B89)&gt;0,"Closed",IF(K89="","Open",IF(K89&lt;NOW(),"Overdue","Open"))),IF(C89="return",IF(OR(L89="",COUNTIF($B$2:$B$1001,L89)=0),"No match",IF(OR(M89="worn",M89="damaged"),"Quarantine","Returned")),IF(C89="issue","Issued",IF(C89="transfer","Moved",IF(C89="write_off","Written off",IF(C89="unfilled","Unfilled",""))))))))</f>
      </c>
      <c r="B89" s="31"/>
      <c r="C89" s="35"/>
      <c r="D89" s="33"/>
      <c r="E89" s="31"/>
      <c r="F89" s="31"/>
      <c r="G89" s="37">
        <f>IF(F89="","",IF(ISNA(MATCH(F89,'Item master'!$A$2:$A$301,0)),"Not in Item master",IFERROR(INDEX('Item master'!$B$2:$B$301,MATCH(F89,'Item master'!$A$2:$A$301,0))&amp;"","")))</f>
      </c>
      <c r="H89" s="34"/>
      <c r="I89" s="31"/>
      <c r="J89" s="31"/>
      <c r="K89" s="33"/>
      <c r="L89" s="31"/>
      <c r="M89" s="35"/>
      <c r="N89" s="30"/>
      <c r="O89" s="30"/>
      <c r="P89" s="36"/>
      <c r="Q89" s="38">
        <f>IF(OR(C89&lt;&gt;"loan",E89=""),"",IF(ISNA(MATCH(E89,Units!$A$2:$A$501,0)),"",IF(INDEX(Units!$E$2:$E$501,MATCH(E89,Units!$A$2:$A$501,0))="","",IF(K89="","No due date",IF(INT(K89)&gt;INDEX(Units!$E$2:$E$501,MATCH(E89,Units!$A$2:$A$501,0)),"Past cal date","OK")))))</f>
      </c>
      <c r="R89" s="37">
        <f>IF(A89="Overdue",K89+ROW()/10000000,"")</f>
      </c>
    </row>
    <row r="90">
      <c r="A90" s="38">
        <f>IF(C90="","",IF(B90="","Needs ID",IF(OR(C90="loan",C90="send_out"),IF(COUNTIF($L$2:$L$1001,B90)&gt;0,"Closed",IF(K90="","Open",IF(K90&lt;NOW(),"Overdue","Open"))),IF(C90="return",IF(OR(L90="",COUNTIF($B$2:$B$1001,L90)=0),"No match",IF(OR(M90="worn",M90="damaged"),"Quarantine","Returned")),IF(C90="issue","Issued",IF(C90="transfer","Moved",IF(C90="write_off","Written off",IF(C90="unfilled","Unfilled",""))))))))</f>
      </c>
      <c r="B90" s="31"/>
      <c r="C90" s="35"/>
      <c r="D90" s="33"/>
      <c r="E90" s="31"/>
      <c r="F90" s="31"/>
      <c r="G90" s="37">
        <f>IF(F90="","",IF(ISNA(MATCH(F90,'Item master'!$A$2:$A$301,0)),"Not in Item master",IFERROR(INDEX('Item master'!$B$2:$B$301,MATCH(F90,'Item master'!$A$2:$A$301,0))&amp;"","")))</f>
      </c>
      <c r="H90" s="34"/>
      <c r="I90" s="31"/>
      <c r="J90" s="31"/>
      <c r="K90" s="33"/>
      <c r="L90" s="31"/>
      <c r="M90" s="35"/>
      <c r="N90" s="30"/>
      <c r="O90" s="30"/>
      <c r="P90" s="36"/>
      <c r="Q90" s="38">
        <f>IF(OR(C90&lt;&gt;"loan",E90=""),"",IF(ISNA(MATCH(E90,Units!$A$2:$A$501,0)),"",IF(INDEX(Units!$E$2:$E$501,MATCH(E90,Units!$A$2:$A$501,0))="","",IF(K90="","No due date",IF(INT(K90)&gt;INDEX(Units!$E$2:$E$501,MATCH(E90,Units!$A$2:$A$501,0)),"Past cal date","OK")))))</f>
      </c>
      <c r="R90" s="37">
        <f>IF(A90="Overdue",K90+ROW()/10000000,"")</f>
      </c>
    </row>
    <row r="91">
      <c r="A91" s="38">
        <f>IF(C91="","",IF(B91="","Needs ID",IF(OR(C91="loan",C91="send_out"),IF(COUNTIF($L$2:$L$1001,B91)&gt;0,"Closed",IF(K91="","Open",IF(K91&lt;NOW(),"Overdue","Open"))),IF(C91="return",IF(OR(L91="",COUNTIF($B$2:$B$1001,L91)=0),"No match",IF(OR(M91="worn",M91="damaged"),"Quarantine","Returned")),IF(C91="issue","Issued",IF(C91="transfer","Moved",IF(C91="write_off","Written off",IF(C91="unfilled","Unfilled",""))))))))</f>
      </c>
      <c r="B91" s="31"/>
      <c r="C91" s="35"/>
      <c r="D91" s="33"/>
      <c r="E91" s="31"/>
      <c r="F91" s="31"/>
      <c r="G91" s="37">
        <f>IF(F91="","",IF(ISNA(MATCH(F91,'Item master'!$A$2:$A$301,0)),"Not in Item master",IFERROR(INDEX('Item master'!$B$2:$B$301,MATCH(F91,'Item master'!$A$2:$A$301,0))&amp;"","")))</f>
      </c>
      <c r="H91" s="34"/>
      <c r="I91" s="31"/>
      <c r="J91" s="31"/>
      <c r="K91" s="33"/>
      <c r="L91" s="31"/>
      <c r="M91" s="35"/>
      <c r="N91" s="30"/>
      <c r="O91" s="30"/>
      <c r="P91" s="36"/>
      <c r="Q91" s="38">
        <f>IF(OR(C91&lt;&gt;"loan",E91=""),"",IF(ISNA(MATCH(E91,Units!$A$2:$A$501,0)),"",IF(INDEX(Units!$E$2:$E$501,MATCH(E91,Units!$A$2:$A$501,0))="","",IF(K91="","No due date",IF(INT(K91)&gt;INDEX(Units!$E$2:$E$501,MATCH(E91,Units!$A$2:$A$501,0)),"Past cal date","OK")))))</f>
      </c>
      <c r="R91" s="37">
        <f>IF(A91="Overdue",K91+ROW()/10000000,"")</f>
      </c>
    </row>
    <row r="92">
      <c r="A92" s="38">
        <f>IF(C92="","",IF(B92="","Needs ID",IF(OR(C92="loan",C92="send_out"),IF(COUNTIF($L$2:$L$1001,B92)&gt;0,"Closed",IF(K92="","Open",IF(K92&lt;NOW(),"Overdue","Open"))),IF(C92="return",IF(OR(L92="",COUNTIF($B$2:$B$1001,L92)=0),"No match",IF(OR(M92="worn",M92="damaged"),"Quarantine","Returned")),IF(C92="issue","Issued",IF(C92="transfer","Moved",IF(C92="write_off","Written off",IF(C92="unfilled","Unfilled",""))))))))</f>
      </c>
      <c r="B92" s="31"/>
      <c r="C92" s="35"/>
      <c r="D92" s="33"/>
      <c r="E92" s="31"/>
      <c r="F92" s="31"/>
      <c r="G92" s="37">
        <f>IF(F92="","",IF(ISNA(MATCH(F92,'Item master'!$A$2:$A$301,0)),"Not in Item master",IFERROR(INDEX('Item master'!$B$2:$B$301,MATCH(F92,'Item master'!$A$2:$A$301,0))&amp;"","")))</f>
      </c>
      <c r="H92" s="34"/>
      <c r="I92" s="31"/>
      <c r="J92" s="31"/>
      <c r="K92" s="33"/>
      <c r="L92" s="31"/>
      <c r="M92" s="35"/>
      <c r="N92" s="30"/>
      <c r="O92" s="30"/>
      <c r="P92" s="36"/>
      <c r="Q92" s="38">
        <f>IF(OR(C92&lt;&gt;"loan",E92=""),"",IF(ISNA(MATCH(E92,Units!$A$2:$A$501,0)),"",IF(INDEX(Units!$E$2:$E$501,MATCH(E92,Units!$A$2:$A$501,0))="","",IF(K92="","No due date",IF(INT(K92)&gt;INDEX(Units!$E$2:$E$501,MATCH(E92,Units!$A$2:$A$501,0)),"Past cal date","OK")))))</f>
      </c>
      <c r="R92" s="37">
        <f>IF(A92="Overdue",K92+ROW()/10000000,"")</f>
      </c>
    </row>
    <row r="93">
      <c r="A93" s="38">
        <f>IF(C93="","",IF(B93="","Needs ID",IF(OR(C93="loan",C93="send_out"),IF(COUNTIF($L$2:$L$1001,B93)&gt;0,"Closed",IF(K93="","Open",IF(K93&lt;NOW(),"Overdue","Open"))),IF(C93="return",IF(OR(L93="",COUNTIF($B$2:$B$1001,L93)=0),"No match",IF(OR(M93="worn",M93="damaged"),"Quarantine","Returned")),IF(C93="issue","Issued",IF(C93="transfer","Moved",IF(C93="write_off","Written off",IF(C93="unfilled","Unfilled",""))))))))</f>
      </c>
      <c r="B93" s="31"/>
      <c r="C93" s="35"/>
      <c r="D93" s="33"/>
      <c r="E93" s="31"/>
      <c r="F93" s="31"/>
      <c r="G93" s="37">
        <f>IF(F93="","",IF(ISNA(MATCH(F93,'Item master'!$A$2:$A$301,0)),"Not in Item master",IFERROR(INDEX('Item master'!$B$2:$B$301,MATCH(F93,'Item master'!$A$2:$A$301,0))&amp;"","")))</f>
      </c>
      <c r="H93" s="34"/>
      <c r="I93" s="31"/>
      <c r="J93" s="31"/>
      <c r="K93" s="33"/>
      <c r="L93" s="31"/>
      <c r="M93" s="35"/>
      <c r="N93" s="30"/>
      <c r="O93" s="30"/>
      <c r="P93" s="36"/>
      <c r="Q93" s="38">
        <f>IF(OR(C93&lt;&gt;"loan",E93=""),"",IF(ISNA(MATCH(E93,Units!$A$2:$A$501,0)),"",IF(INDEX(Units!$E$2:$E$501,MATCH(E93,Units!$A$2:$A$501,0))="","",IF(K93="","No due date",IF(INT(K93)&gt;INDEX(Units!$E$2:$E$501,MATCH(E93,Units!$A$2:$A$501,0)),"Past cal date","OK")))))</f>
      </c>
      <c r="R93" s="37">
        <f>IF(A93="Overdue",K93+ROW()/10000000,"")</f>
      </c>
    </row>
    <row r="94">
      <c r="A94" s="38">
        <f>IF(C94="","",IF(B94="","Needs ID",IF(OR(C94="loan",C94="send_out"),IF(COUNTIF($L$2:$L$1001,B94)&gt;0,"Closed",IF(K94="","Open",IF(K94&lt;NOW(),"Overdue","Open"))),IF(C94="return",IF(OR(L94="",COUNTIF($B$2:$B$1001,L94)=0),"No match",IF(OR(M94="worn",M94="damaged"),"Quarantine","Returned")),IF(C94="issue","Issued",IF(C94="transfer","Moved",IF(C94="write_off","Written off",IF(C94="unfilled","Unfilled",""))))))))</f>
      </c>
      <c r="B94" s="31"/>
      <c r="C94" s="35"/>
      <c r="D94" s="33"/>
      <c r="E94" s="31"/>
      <c r="F94" s="31"/>
      <c r="G94" s="37">
        <f>IF(F94="","",IF(ISNA(MATCH(F94,'Item master'!$A$2:$A$301,0)),"Not in Item master",IFERROR(INDEX('Item master'!$B$2:$B$301,MATCH(F94,'Item master'!$A$2:$A$301,0))&amp;"","")))</f>
      </c>
      <c r="H94" s="34"/>
      <c r="I94" s="31"/>
      <c r="J94" s="31"/>
      <c r="K94" s="33"/>
      <c r="L94" s="31"/>
      <c r="M94" s="35"/>
      <c r="N94" s="30"/>
      <c r="O94" s="30"/>
      <c r="P94" s="36"/>
      <c r="Q94" s="38">
        <f>IF(OR(C94&lt;&gt;"loan",E94=""),"",IF(ISNA(MATCH(E94,Units!$A$2:$A$501,0)),"",IF(INDEX(Units!$E$2:$E$501,MATCH(E94,Units!$A$2:$A$501,0))="","",IF(K94="","No due date",IF(INT(K94)&gt;INDEX(Units!$E$2:$E$501,MATCH(E94,Units!$A$2:$A$501,0)),"Past cal date","OK")))))</f>
      </c>
      <c r="R94" s="37">
        <f>IF(A94="Overdue",K94+ROW()/10000000,"")</f>
      </c>
    </row>
    <row r="95">
      <c r="A95" s="38">
        <f>IF(C95="","",IF(B95="","Needs ID",IF(OR(C95="loan",C95="send_out"),IF(COUNTIF($L$2:$L$1001,B95)&gt;0,"Closed",IF(K95="","Open",IF(K95&lt;NOW(),"Overdue","Open"))),IF(C95="return",IF(OR(L95="",COUNTIF($B$2:$B$1001,L95)=0),"No match",IF(OR(M95="worn",M95="damaged"),"Quarantine","Returned")),IF(C95="issue","Issued",IF(C95="transfer","Moved",IF(C95="write_off","Written off",IF(C95="unfilled","Unfilled",""))))))))</f>
      </c>
      <c r="B95" s="31"/>
      <c r="C95" s="35"/>
      <c r="D95" s="33"/>
      <c r="E95" s="31"/>
      <c r="F95" s="31"/>
      <c r="G95" s="37">
        <f>IF(F95="","",IF(ISNA(MATCH(F95,'Item master'!$A$2:$A$301,0)),"Not in Item master",IFERROR(INDEX('Item master'!$B$2:$B$301,MATCH(F95,'Item master'!$A$2:$A$301,0))&amp;"","")))</f>
      </c>
      <c r="H95" s="34"/>
      <c r="I95" s="31"/>
      <c r="J95" s="31"/>
      <c r="K95" s="33"/>
      <c r="L95" s="31"/>
      <c r="M95" s="35"/>
      <c r="N95" s="30"/>
      <c r="O95" s="30"/>
      <c r="P95" s="36"/>
      <c r="Q95" s="38">
        <f>IF(OR(C95&lt;&gt;"loan",E95=""),"",IF(ISNA(MATCH(E95,Units!$A$2:$A$501,0)),"",IF(INDEX(Units!$E$2:$E$501,MATCH(E95,Units!$A$2:$A$501,0))="","",IF(K95="","No due date",IF(INT(K95)&gt;INDEX(Units!$E$2:$E$501,MATCH(E95,Units!$A$2:$A$501,0)),"Past cal date","OK")))))</f>
      </c>
      <c r="R95" s="37">
        <f>IF(A95="Overdue",K95+ROW()/10000000,"")</f>
      </c>
    </row>
    <row r="96">
      <c r="A96" s="38">
        <f>IF(C96="","",IF(B96="","Needs ID",IF(OR(C96="loan",C96="send_out"),IF(COUNTIF($L$2:$L$1001,B96)&gt;0,"Closed",IF(K96="","Open",IF(K96&lt;NOW(),"Overdue","Open"))),IF(C96="return",IF(OR(L96="",COUNTIF($B$2:$B$1001,L96)=0),"No match",IF(OR(M96="worn",M96="damaged"),"Quarantine","Returned")),IF(C96="issue","Issued",IF(C96="transfer","Moved",IF(C96="write_off","Written off",IF(C96="unfilled","Unfilled",""))))))))</f>
      </c>
      <c r="B96" s="31"/>
      <c r="C96" s="35"/>
      <c r="D96" s="33"/>
      <c r="E96" s="31"/>
      <c r="F96" s="31"/>
      <c r="G96" s="37">
        <f>IF(F96="","",IF(ISNA(MATCH(F96,'Item master'!$A$2:$A$301,0)),"Not in Item master",IFERROR(INDEX('Item master'!$B$2:$B$301,MATCH(F96,'Item master'!$A$2:$A$301,0))&amp;"","")))</f>
      </c>
      <c r="H96" s="34"/>
      <c r="I96" s="31"/>
      <c r="J96" s="31"/>
      <c r="K96" s="33"/>
      <c r="L96" s="31"/>
      <c r="M96" s="35"/>
      <c r="N96" s="30"/>
      <c r="O96" s="30"/>
      <c r="P96" s="36"/>
      <c r="Q96" s="38">
        <f>IF(OR(C96&lt;&gt;"loan",E96=""),"",IF(ISNA(MATCH(E96,Units!$A$2:$A$501,0)),"",IF(INDEX(Units!$E$2:$E$501,MATCH(E96,Units!$A$2:$A$501,0))="","",IF(K96="","No due date",IF(INT(K96)&gt;INDEX(Units!$E$2:$E$501,MATCH(E96,Units!$A$2:$A$501,0)),"Past cal date","OK")))))</f>
      </c>
      <c r="R96" s="37">
        <f>IF(A96="Overdue",K96+ROW()/10000000,"")</f>
      </c>
    </row>
    <row r="97">
      <c r="A97" s="38">
        <f>IF(C97="","",IF(B97="","Needs ID",IF(OR(C97="loan",C97="send_out"),IF(COUNTIF($L$2:$L$1001,B97)&gt;0,"Closed",IF(K97="","Open",IF(K97&lt;NOW(),"Overdue","Open"))),IF(C97="return",IF(OR(L97="",COUNTIF($B$2:$B$1001,L97)=0),"No match",IF(OR(M97="worn",M97="damaged"),"Quarantine","Returned")),IF(C97="issue","Issued",IF(C97="transfer","Moved",IF(C97="write_off","Written off",IF(C97="unfilled","Unfilled",""))))))))</f>
      </c>
      <c r="B97" s="31"/>
      <c r="C97" s="35"/>
      <c r="D97" s="33"/>
      <c r="E97" s="31"/>
      <c r="F97" s="31"/>
      <c r="G97" s="37">
        <f>IF(F97="","",IF(ISNA(MATCH(F97,'Item master'!$A$2:$A$301,0)),"Not in Item master",IFERROR(INDEX('Item master'!$B$2:$B$301,MATCH(F97,'Item master'!$A$2:$A$301,0))&amp;"","")))</f>
      </c>
      <c r="H97" s="34"/>
      <c r="I97" s="31"/>
      <c r="J97" s="31"/>
      <c r="K97" s="33"/>
      <c r="L97" s="31"/>
      <c r="M97" s="35"/>
      <c r="N97" s="30"/>
      <c r="O97" s="30"/>
      <c r="P97" s="36"/>
      <c r="Q97" s="38">
        <f>IF(OR(C97&lt;&gt;"loan",E97=""),"",IF(ISNA(MATCH(E97,Units!$A$2:$A$501,0)),"",IF(INDEX(Units!$E$2:$E$501,MATCH(E97,Units!$A$2:$A$501,0))="","",IF(K97="","No due date",IF(INT(K97)&gt;INDEX(Units!$E$2:$E$501,MATCH(E97,Units!$A$2:$A$501,0)),"Past cal date","OK")))))</f>
      </c>
      <c r="R97" s="37">
        <f>IF(A97="Overdue",K97+ROW()/10000000,"")</f>
      </c>
    </row>
    <row r="98">
      <c r="A98" s="38">
        <f>IF(C98="","",IF(B98="","Needs ID",IF(OR(C98="loan",C98="send_out"),IF(COUNTIF($L$2:$L$1001,B98)&gt;0,"Closed",IF(K98="","Open",IF(K98&lt;NOW(),"Overdue","Open"))),IF(C98="return",IF(OR(L98="",COUNTIF($B$2:$B$1001,L98)=0),"No match",IF(OR(M98="worn",M98="damaged"),"Quarantine","Returned")),IF(C98="issue","Issued",IF(C98="transfer","Moved",IF(C98="write_off","Written off",IF(C98="unfilled","Unfilled",""))))))))</f>
      </c>
      <c r="B98" s="31"/>
      <c r="C98" s="35"/>
      <c r="D98" s="33"/>
      <c r="E98" s="31"/>
      <c r="F98" s="31"/>
      <c r="G98" s="37">
        <f>IF(F98="","",IF(ISNA(MATCH(F98,'Item master'!$A$2:$A$301,0)),"Not in Item master",IFERROR(INDEX('Item master'!$B$2:$B$301,MATCH(F98,'Item master'!$A$2:$A$301,0))&amp;"","")))</f>
      </c>
      <c r="H98" s="34"/>
      <c r="I98" s="31"/>
      <c r="J98" s="31"/>
      <c r="K98" s="33"/>
      <c r="L98" s="31"/>
      <c r="M98" s="35"/>
      <c r="N98" s="30"/>
      <c r="O98" s="30"/>
      <c r="P98" s="36"/>
      <c r="Q98" s="38">
        <f>IF(OR(C98&lt;&gt;"loan",E98=""),"",IF(ISNA(MATCH(E98,Units!$A$2:$A$501,0)),"",IF(INDEX(Units!$E$2:$E$501,MATCH(E98,Units!$A$2:$A$501,0))="","",IF(K98="","No due date",IF(INT(K98)&gt;INDEX(Units!$E$2:$E$501,MATCH(E98,Units!$A$2:$A$501,0)),"Past cal date","OK")))))</f>
      </c>
      <c r="R98" s="37">
        <f>IF(A98="Overdue",K98+ROW()/10000000,"")</f>
      </c>
    </row>
    <row r="99">
      <c r="A99" s="38">
        <f>IF(C99="","",IF(B99="","Needs ID",IF(OR(C99="loan",C99="send_out"),IF(COUNTIF($L$2:$L$1001,B99)&gt;0,"Closed",IF(K99="","Open",IF(K99&lt;NOW(),"Overdue","Open"))),IF(C99="return",IF(OR(L99="",COUNTIF($B$2:$B$1001,L99)=0),"No match",IF(OR(M99="worn",M99="damaged"),"Quarantine","Returned")),IF(C99="issue","Issued",IF(C99="transfer","Moved",IF(C99="write_off","Written off",IF(C99="unfilled","Unfilled",""))))))))</f>
      </c>
      <c r="B99" s="31"/>
      <c r="C99" s="35"/>
      <c r="D99" s="33"/>
      <c r="E99" s="31"/>
      <c r="F99" s="31"/>
      <c r="G99" s="37">
        <f>IF(F99="","",IF(ISNA(MATCH(F99,'Item master'!$A$2:$A$301,0)),"Not in Item master",IFERROR(INDEX('Item master'!$B$2:$B$301,MATCH(F99,'Item master'!$A$2:$A$301,0))&amp;"","")))</f>
      </c>
      <c r="H99" s="34"/>
      <c r="I99" s="31"/>
      <c r="J99" s="31"/>
      <c r="K99" s="33"/>
      <c r="L99" s="31"/>
      <c r="M99" s="35"/>
      <c r="N99" s="30"/>
      <c r="O99" s="30"/>
      <c r="P99" s="36"/>
      <c r="Q99" s="38">
        <f>IF(OR(C99&lt;&gt;"loan",E99=""),"",IF(ISNA(MATCH(E99,Units!$A$2:$A$501,0)),"",IF(INDEX(Units!$E$2:$E$501,MATCH(E99,Units!$A$2:$A$501,0))="","",IF(K99="","No due date",IF(INT(K99)&gt;INDEX(Units!$E$2:$E$501,MATCH(E99,Units!$A$2:$A$501,0)),"Past cal date","OK")))))</f>
      </c>
      <c r="R99" s="37">
        <f>IF(A99="Overdue",K99+ROW()/10000000,"")</f>
      </c>
    </row>
    <row r="100">
      <c r="A100" s="38">
        <f>IF(C100="","",IF(B100="","Needs ID",IF(OR(C100="loan",C100="send_out"),IF(COUNTIF($L$2:$L$1001,B100)&gt;0,"Closed",IF(K100="","Open",IF(K100&lt;NOW(),"Overdue","Open"))),IF(C100="return",IF(OR(L100="",COUNTIF($B$2:$B$1001,L100)=0),"No match",IF(OR(M100="worn",M100="damaged"),"Quarantine","Returned")),IF(C100="issue","Issued",IF(C100="transfer","Moved",IF(C100="write_off","Written off",IF(C100="unfilled","Unfilled",""))))))))</f>
      </c>
      <c r="B100" s="31"/>
      <c r="C100" s="35"/>
      <c r="D100" s="33"/>
      <c r="E100" s="31"/>
      <c r="F100" s="31"/>
      <c r="G100" s="37">
        <f>IF(F100="","",IF(ISNA(MATCH(F100,'Item master'!$A$2:$A$301,0)),"Not in Item master",IFERROR(INDEX('Item master'!$B$2:$B$301,MATCH(F100,'Item master'!$A$2:$A$301,0))&amp;"","")))</f>
      </c>
      <c r="H100" s="34"/>
      <c r="I100" s="31"/>
      <c r="J100" s="31"/>
      <c r="K100" s="33"/>
      <c r="L100" s="31"/>
      <c r="M100" s="35"/>
      <c r="N100" s="30"/>
      <c r="O100" s="30"/>
      <c r="P100" s="36"/>
      <c r="Q100" s="38">
        <f>IF(OR(C100&lt;&gt;"loan",E100=""),"",IF(ISNA(MATCH(E100,Units!$A$2:$A$501,0)),"",IF(INDEX(Units!$E$2:$E$501,MATCH(E100,Units!$A$2:$A$501,0))="","",IF(K100="","No due date",IF(INT(K100)&gt;INDEX(Units!$E$2:$E$501,MATCH(E100,Units!$A$2:$A$501,0)),"Past cal date","OK")))))</f>
      </c>
      <c r="R100" s="37">
        <f>IF(A100="Overdue",K100+ROW()/10000000,"")</f>
      </c>
    </row>
    <row r="101">
      <c r="A101" s="38">
        <f>IF(C101="","",IF(B101="","Needs ID",IF(OR(C101="loan",C101="send_out"),IF(COUNTIF($L$2:$L$1001,B101)&gt;0,"Closed",IF(K101="","Open",IF(K101&lt;NOW(),"Overdue","Open"))),IF(C101="return",IF(OR(L101="",COUNTIF($B$2:$B$1001,L101)=0),"No match",IF(OR(M101="worn",M101="damaged"),"Quarantine","Returned")),IF(C101="issue","Issued",IF(C101="transfer","Moved",IF(C101="write_off","Written off",IF(C101="unfilled","Unfilled",""))))))))</f>
      </c>
      <c r="B101" s="31"/>
      <c r="C101" s="35"/>
      <c r="D101" s="33"/>
      <c r="E101" s="31"/>
      <c r="F101" s="31"/>
      <c r="G101" s="37">
        <f>IF(F101="","",IF(ISNA(MATCH(F101,'Item master'!$A$2:$A$301,0)),"Not in Item master",IFERROR(INDEX('Item master'!$B$2:$B$301,MATCH(F101,'Item master'!$A$2:$A$301,0))&amp;"","")))</f>
      </c>
      <c r="H101" s="34"/>
      <c r="I101" s="31"/>
      <c r="J101" s="31"/>
      <c r="K101" s="33"/>
      <c r="L101" s="31"/>
      <c r="M101" s="35"/>
      <c r="N101" s="30"/>
      <c r="O101" s="30"/>
      <c r="P101" s="36"/>
      <c r="Q101" s="38">
        <f>IF(OR(C101&lt;&gt;"loan",E101=""),"",IF(ISNA(MATCH(E101,Units!$A$2:$A$501,0)),"",IF(INDEX(Units!$E$2:$E$501,MATCH(E101,Units!$A$2:$A$501,0))="","",IF(K101="","No due date",IF(INT(K101)&gt;INDEX(Units!$E$2:$E$501,MATCH(E101,Units!$A$2:$A$501,0)),"Past cal date","OK")))))</f>
      </c>
      <c r="R101" s="37">
        <f>IF(A101="Overdue",K101+ROW()/10000000,"")</f>
      </c>
    </row>
    <row r="102">
      <c r="A102" s="38">
        <f>IF(C102="","",IF(B102="","Needs ID",IF(OR(C102="loan",C102="send_out"),IF(COUNTIF($L$2:$L$1001,B102)&gt;0,"Closed",IF(K102="","Open",IF(K102&lt;NOW(),"Overdue","Open"))),IF(C102="return",IF(OR(L102="",COUNTIF($B$2:$B$1001,L102)=0),"No match",IF(OR(M102="worn",M102="damaged"),"Quarantine","Returned")),IF(C102="issue","Issued",IF(C102="transfer","Moved",IF(C102="write_off","Written off",IF(C102="unfilled","Unfilled",""))))))))</f>
      </c>
      <c r="B102" s="31"/>
      <c r="C102" s="35"/>
      <c r="D102" s="33"/>
      <c r="E102" s="31"/>
      <c r="F102" s="31"/>
      <c r="G102" s="37">
        <f>IF(F102="","",IF(ISNA(MATCH(F102,'Item master'!$A$2:$A$301,0)),"Not in Item master",IFERROR(INDEX('Item master'!$B$2:$B$301,MATCH(F102,'Item master'!$A$2:$A$301,0))&amp;"","")))</f>
      </c>
      <c r="H102" s="34"/>
      <c r="I102" s="31"/>
      <c r="J102" s="31"/>
      <c r="K102" s="33"/>
      <c r="L102" s="31"/>
      <c r="M102" s="35"/>
      <c r="N102" s="30"/>
      <c r="O102" s="30"/>
      <c r="P102" s="36"/>
      <c r="Q102" s="38">
        <f>IF(OR(C102&lt;&gt;"loan",E102=""),"",IF(ISNA(MATCH(E102,Units!$A$2:$A$501,0)),"",IF(INDEX(Units!$E$2:$E$501,MATCH(E102,Units!$A$2:$A$501,0))="","",IF(K102="","No due date",IF(INT(K102)&gt;INDEX(Units!$E$2:$E$501,MATCH(E102,Units!$A$2:$A$501,0)),"Past cal date","OK")))))</f>
      </c>
      <c r="R102" s="37">
        <f>IF(A102="Overdue",K102+ROW()/10000000,"")</f>
      </c>
    </row>
    <row r="103">
      <c r="A103" s="38">
        <f>IF(C103="","",IF(B103="","Needs ID",IF(OR(C103="loan",C103="send_out"),IF(COUNTIF($L$2:$L$1001,B103)&gt;0,"Closed",IF(K103="","Open",IF(K103&lt;NOW(),"Overdue","Open"))),IF(C103="return",IF(OR(L103="",COUNTIF($B$2:$B$1001,L103)=0),"No match",IF(OR(M103="worn",M103="damaged"),"Quarantine","Returned")),IF(C103="issue","Issued",IF(C103="transfer","Moved",IF(C103="write_off","Written off",IF(C103="unfilled","Unfilled",""))))))))</f>
      </c>
      <c r="B103" s="31"/>
      <c r="C103" s="35"/>
      <c r="D103" s="33"/>
      <c r="E103" s="31"/>
      <c r="F103" s="31"/>
      <c r="G103" s="37">
        <f>IF(F103="","",IF(ISNA(MATCH(F103,'Item master'!$A$2:$A$301,0)),"Not in Item master",IFERROR(INDEX('Item master'!$B$2:$B$301,MATCH(F103,'Item master'!$A$2:$A$301,0))&amp;"","")))</f>
      </c>
      <c r="H103" s="34"/>
      <c r="I103" s="31"/>
      <c r="J103" s="31"/>
      <c r="K103" s="33"/>
      <c r="L103" s="31"/>
      <c r="M103" s="35"/>
      <c r="N103" s="30"/>
      <c r="O103" s="30"/>
      <c r="P103" s="36"/>
      <c r="Q103" s="38">
        <f>IF(OR(C103&lt;&gt;"loan",E103=""),"",IF(ISNA(MATCH(E103,Units!$A$2:$A$501,0)),"",IF(INDEX(Units!$E$2:$E$501,MATCH(E103,Units!$A$2:$A$501,0))="","",IF(K103="","No due date",IF(INT(K103)&gt;INDEX(Units!$E$2:$E$501,MATCH(E103,Units!$A$2:$A$501,0)),"Past cal date","OK")))))</f>
      </c>
      <c r="R103" s="37">
        <f>IF(A103="Overdue",K103+ROW()/10000000,"")</f>
      </c>
    </row>
    <row r="104">
      <c r="A104" s="38">
        <f>IF(C104="","",IF(B104="","Needs ID",IF(OR(C104="loan",C104="send_out"),IF(COUNTIF($L$2:$L$1001,B104)&gt;0,"Closed",IF(K104="","Open",IF(K104&lt;NOW(),"Overdue","Open"))),IF(C104="return",IF(OR(L104="",COUNTIF($B$2:$B$1001,L104)=0),"No match",IF(OR(M104="worn",M104="damaged"),"Quarantine","Returned")),IF(C104="issue","Issued",IF(C104="transfer","Moved",IF(C104="write_off","Written off",IF(C104="unfilled","Unfilled",""))))))))</f>
      </c>
      <c r="B104" s="31"/>
      <c r="C104" s="35"/>
      <c r="D104" s="33"/>
      <c r="E104" s="31"/>
      <c r="F104" s="31"/>
      <c r="G104" s="37">
        <f>IF(F104="","",IF(ISNA(MATCH(F104,'Item master'!$A$2:$A$301,0)),"Not in Item master",IFERROR(INDEX('Item master'!$B$2:$B$301,MATCH(F104,'Item master'!$A$2:$A$301,0))&amp;"","")))</f>
      </c>
      <c r="H104" s="34"/>
      <c r="I104" s="31"/>
      <c r="J104" s="31"/>
      <c r="K104" s="33"/>
      <c r="L104" s="31"/>
      <c r="M104" s="35"/>
      <c r="N104" s="30"/>
      <c r="O104" s="30"/>
      <c r="P104" s="36"/>
      <c r="Q104" s="38">
        <f>IF(OR(C104&lt;&gt;"loan",E104=""),"",IF(ISNA(MATCH(E104,Units!$A$2:$A$501,0)),"",IF(INDEX(Units!$E$2:$E$501,MATCH(E104,Units!$A$2:$A$501,0))="","",IF(K104="","No due date",IF(INT(K104)&gt;INDEX(Units!$E$2:$E$501,MATCH(E104,Units!$A$2:$A$501,0)),"Past cal date","OK")))))</f>
      </c>
      <c r="R104" s="37">
        <f>IF(A104="Overdue",K104+ROW()/10000000,"")</f>
      </c>
    </row>
    <row r="105">
      <c r="A105" s="38">
        <f>IF(C105="","",IF(B105="","Needs ID",IF(OR(C105="loan",C105="send_out"),IF(COUNTIF($L$2:$L$1001,B105)&gt;0,"Closed",IF(K105="","Open",IF(K105&lt;NOW(),"Overdue","Open"))),IF(C105="return",IF(OR(L105="",COUNTIF($B$2:$B$1001,L105)=0),"No match",IF(OR(M105="worn",M105="damaged"),"Quarantine","Returned")),IF(C105="issue","Issued",IF(C105="transfer","Moved",IF(C105="write_off","Written off",IF(C105="unfilled","Unfilled",""))))))))</f>
      </c>
      <c r="B105" s="31"/>
      <c r="C105" s="35"/>
      <c r="D105" s="33"/>
      <c r="E105" s="31"/>
      <c r="F105" s="31"/>
      <c r="G105" s="37">
        <f>IF(F105="","",IF(ISNA(MATCH(F105,'Item master'!$A$2:$A$301,0)),"Not in Item master",IFERROR(INDEX('Item master'!$B$2:$B$301,MATCH(F105,'Item master'!$A$2:$A$301,0))&amp;"","")))</f>
      </c>
      <c r="H105" s="34"/>
      <c r="I105" s="31"/>
      <c r="J105" s="31"/>
      <c r="K105" s="33"/>
      <c r="L105" s="31"/>
      <c r="M105" s="35"/>
      <c r="N105" s="30"/>
      <c r="O105" s="30"/>
      <c r="P105" s="36"/>
      <c r="Q105" s="38">
        <f>IF(OR(C105&lt;&gt;"loan",E105=""),"",IF(ISNA(MATCH(E105,Units!$A$2:$A$501,0)),"",IF(INDEX(Units!$E$2:$E$501,MATCH(E105,Units!$A$2:$A$501,0))="","",IF(K105="","No due date",IF(INT(K105)&gt;INDEX(Units!$E$2:$E$501,MATCH(E105,Units!$A$2:$A$501,0)),"Past cal date","OK")))))</f>
      </c>
      <c r="R105" s="37">
        <f>IF(A105="Overdue",K105+ROW()/10000000,"")</f>
      </c>
    </row>
    <row r="106">
      <c r="A106" s="38">
        <f>IF(C106="","",IF(B106="","Needs ID",IF(OR(C106="loan",C106="send_out"),IF(COUNTIF($L$2:$L$1001,B106)&gt;0,"Closed",IF(K106="","Open",IF(K106&lt;NOW(),"Overdue","Open"))),IF(C106="return",IF(OR(L106="",COUNTIF($B$2:$B$1001,L106)=0),"No match",IF(OR(M106="worn",M106="damaged"),"Quarantine","Returned")),IF(C106="issue","Issued",IF(C106="transfer","Moved",IF(C106="write_off","Written off",IF(C106="unfilled","Unfilled",""))))))))</f>
      </c>
      <c r="B106" s="31"/>
      <c r="C106" s="35"/>
      <c r="D106" s="33"/>
      <c r="E106" s="31"/>
      <c r="F106" s="31"/>
      <c r="G106" s="37">
        <f>IF(F106="","",IF(ISNA(MATCH(F106,'Item master'!$A$2:$A$301,0)),"Not in Item master",IFERROR(INDEX('Item master'!$B$2:$B$301,MATCH(F106,'Item master'!$A$2:$A$301,0))&amp;"","")))</f>
      </c>
      <c r="H106" s="34"/>
      <c r="I106" s="31"/>
      <c r="J106" s="31"/>
      <c r="K106" s="33"/>
      <c r="L106" s="31"/>
      <c r="M106" s="35"/>
      <c r="N106" s="30"/>
      <c r="O106" s="30"/>
      <c r="P106" s="36"/>
      <c r="Q106" s="38">
        <f>IF(OR(C106&lt;&gt;"loan",E106=""),"",IF(ISNA(MATCH(E106,Units!$A$2:$A$501,0)),"",IF(INDEX(Units!$E$2:$E$501,MATCH(E106,Units!$A$2:$A$501,0))="","",IF(K106="","No due date",IF(INT(K106)&gt;INDEX(Units!$E$2:$E$501,MATCH(E106,Units!$A$2:$A$501,0)),"Past cal date","OK")))))</f>
      </c>
      <c r="R106" s="37">
        <f>IF(A106="Overdue",K106+ROW()/10000000,"")</f>
      </c>
    </row>
    <row r="107">
      <c r="A107" s="38">
        <f>IF(C107="","",IF(B107="","Needs ID",IF(OR(C107="loan",C107="send_out"),IF(COUNTIF($L$2:$L$1001,B107)&gt;0,"Closed",IF(K107="","Open",IF(K107&lt;NOW(),"Overdue","Open"))),IF(C107="return",IF(OR(L107="",COUNTIF($B$2:$B$1001,L107)=0),"No match",IF(OR(M107="worn",M107="damaged"),"Quarantine","Returned")),IF(C107="issue","Issued",IF(C107="transfer","Moved",IF(C107="write_off","Written off",IF(C107="unfilled","Unfilled",""))))))))</f>
      </c>
      <c r="B107" s="31"/>
      <c r="C107" s="35"/>
      <c r="D107" s="33"/>
      <c r="E107" s="31"/>
      <c r="F107" s="31"/>
      <c r="G107" s="37">
        <f>IF(F107="","",IF(ISNA(MATCH(F107,'Item master'!$A$2:$A$301,0)),"Not in Item master",IFERROR(INDEX('Item master'!$B$2:$B$301,MATCH(F107,'Item master'!$A$2:$A$301,0))&amp;"","")))</f>
      </c>
      <c r="H107" s="34"/>
      <c r="I107" s="31"/>
      <c r="J107" s="31"/>
      <c r="K107" s="33"/>
      <c r="L107" s="31"/>
      <c r="M107" s="35"/>
      <c r="N107" s="30"/>
      <c r="O107" s="30"/>
      <c r="P107" s="36"/>
      <c r="Q107" s="38">
        <f>IF(OR(C107&lt;&gt;"loan",E107=""),"",IF(ISNA(MATCH(E107,Units!$A$2:$A$501,0)),"",IF(INDEX(Units!$E$2:$E$501,MATCH(E107,Units!$A$2:$A$501,0))="","",IF(K107="","No due date",IF(INT(K107)&gt;INDEX(Units!$E$2:$E$501,MATCH(E107,Units!$A$2:$A$501,0)),"Past cal date","OK")))))</f>
      </c>
      <c r="R107" s="37">
        <f>IF(A107="Overdue",K107+ROW()/10000000,"")</f>
      </c>
    </row>
    <row r="108">
      <c r="A108" s="38">
        <f>IF(C108="","",IF(B108="","Needs ID",IF(OR(C108="loan",C108="send_out"),IF(COUNTIF($L$2:$L$1001,B108)&gt;0,"Closed",IF(K108="","Open",IF(K108&lt;NOW(),"Overdue","Open"))),IF(C108="return",IF(OR(L108="",COUNTIF($B$2:$B$1001,L108)=0),"No match",IF(OR(M108="worn",M108="damaged"),"Quarantine","Returned")),IF(C108="issue","Issued",IF(C108="transfer","Moved",IF(C108="write_off","Written off",IF(C108="unfilled","Unfilled",""))))))))</f>
      </c>
      <c r="B108" s="31"/>
      <c r="C108" s="35"/>
      <c r="D108" s="33"/>
      <c r="E108" s="31"/>
      <c r="F108" s="31"/>
      <c r="G108" s="37">
        <f>IF(F108="","",IF(ISNA(MATCH(F108,'Item master'!$A$2:$A$301,0)),"Not in Item master",IFERROR(INDEX('Item master'!$B$2:$B$301,MATCH(F108,'Item master'!$A$2:$A$301,0))&amp;"","")))</f>
      </c>
      <c r="H108" s="34"/>
      <c r="I108" s="31"/>
      <c r="J108" s="31"/>
      <c r="K108" s="33"/>
      <c r="L108" s="31"/>
      <c r="M108" s="35"/>
      <c r="N108" s="30"/>
      <c r="O108" s="30"/>
      <c r="P108" s="36"/>
      <c r="Q108" s="38">
        <f>IF(OR(C108&lt;&gt;"loan",E108=""),"",IF(ISNA(MATCH(E108,Units!$A$2:$A$501,0)),"",IF(INDEX(Units!$E$2:$E$501,MATCH(E108,Units!$A$2:$A$501,0))="","",IF(K108="","No due date",IF(INT(K108)&gt;INDEX(Units!$E$2:$E$501,MATCH(E108,Units!$A$2:$A$501,0)),"Past cal date","OK")))))</f>
      </c>
      <c r="R108" s="37">
        <f>IF(A108="Overdue",K108+ROW()/10000000,"")</f>
      </c>
    </row>
    <row r="109">
      <c r="A109" s="38">
        <f>IF(C109="","",IF(B109="","Needs ID",IF(OR(C109="loan",C109="send_out"),IF(COUNTIF($L$2:$L$1001,B109)&gt;0,"Closed",IF(K109="","Open",IF(K109&lt;NOW(),"Overdue","Open"))),IF(C109="return",IF(OR(L109="",COUNTIF($B$2:$B$1001,L109)=0),"No match",IF(OR(M109="worn",M109="damaged"),"Quarantine","Returned")),IF(C109="issue","Issued",IF(C109="transfer","Moved",IF(C109="write_off","Written off",IF(C109="unfilled","Unfilled",""))))))))</f>
      </c>
      <c r="B109" s="31"/>
      <c r="C109" s="35"/>
      <c r="D109" s="33"/>
      <c r="E109" s="31"/>
      <c r="F109" s="31"/>
      <c r="G109" s="37">
        <f>IF(F109="","",IF(ISNA(MATCH(F109,'Item master'!$A$2:$A$301,0)),"Not in Item master",IFERROR(INDEX('Item master'!$B$2:$B$301,MATCH(F109,'Item master'!$A$2:$A$301,0))&amp;"","")))</f>
      </c>
      <c r="H109" s="34"/>
      <c r="I109" s="31"/>
      <c r="J109" s="31"/>
      <c r="K109" s="33"/>
      <c r="L109" s="31"/>
      <c r="M109" s="35"/>
      <c r="N109" s="30"/>
      <c r="O109" s="30"/>
      <c r="P109" s="36"/>
      <c r="Q109" s="38">
        <f>IF(OR(C109&lt;&gt;"loan",E109=""),"",IF(ISNA(MATCH(E109,Units!$A$2:$A$501,0)),"",IF(INDEX(Units!$E$2:$E$501,MATCH(E109,Units!$A$2:$A$501,0))="","",IF(K109="","No due date",IF(INT(K109)&gt;INDEX(Units!$E$2:$E$501,MATCH(E109,Units!$A$2:$A$501,0)),"Past cal date","OK")))))</f>
      </c>
      <c r="R109" s="37">
        <f>IF(A109="Overdue",K109+ROW()/10000000,"")</f>
      </c>
    </row>
    <row r="110">
      <c r="A110" s="38">
        <f>IF(C110="","",IF(B110="","Needs ID",IF(OR(C110="loan",C110="send_out"),IF(COUNTIF($L$2:$L$1001,B110)&gt;0,"Closed",IF(K110="","Open",IF(K110&lt;NOW(),"Overdue","Open"))),IF(C110="return",IF(OR(L110="",COUNTIF($B$2:$B$1001,L110)=0),"No match",IF(OR(M110="worn",M110="damaged"),"Quarantine","Returned")),IF(C110="issue","Issued",IF(C110="transfer","Moved",IF(C110="write_off","Written off",IF(C110="unfilled","Unfilled",""))))))))</f>
      </c>
      <c r="B110" s="31"/>
      <c r="C110" s="35"/>
      <c r="D110" s="33"/>
      <c r="E110" s="31"/>
      <c r="F110" s="31"/>
      <c r="G110" s="37">
        <f>IF(F110="","",IF(ISNA(MATCH(F110,'Item master'!$A$2:$A$301,0)),"Not in Item master",IFERROR(INDEX('Item master'!$B$2:$B$301,MATCH(F110,'Item master'!$A$2:$A$301,0))&amp;"","")))</f>
      </c>
      <c r="H110" s="34"/>
      <c r="I110" s="31"/>
      <c r="J110" s="31"/>
      <c r="K110" s="33"/>
      <c r="L110" s="31"/>
      <c r="M110" s="35"/>
      <c r="N110" s="30"/>
      <c r="O110" s="30"/>
      <c r="P110" s="36"/>
      <c r="Q110" s="38">
        <f>IF(OR(C110&lt;&gt;"loan",E110=""),"",IF(ISNA(MATCH(E110,Units!$A$2:$A$501,0)),"",IF(INDEX(Units!$E$2:$E$501,MATCH(E110,Units!$A$2:$A$501,0))="","",IF(K110="","No due date",IF(INT(K110)&gt;INDEX(Units!$E$2:$E$501,MATCH(E110,Units!$A$2:$A$501,0)),"Past cal date","OK")))))</f>
      </c>
      <c r="R110" s="37">
        <f>IF(A110="Overdue",K110+ROW()/10000000,"")</f>
      </c>
    </row>
    <row r="111">
      <c r="A111" s="38">
        <f>IF(C111="","",IF(B111="","Needs ID",IF(OR(C111="loan",C111="send_out"),IF(COUNTIF($L$2:$L$1001,B111)&gt;0,"Closed",IF(K111="","Open",IF(K111&lt;NOW(),"Overdue","Open"))),IF(C111="return",IF(OR(L111="",COUNTIF($B$2:$B$1001,L111)=0),"No match",IF(OR(M111="worn",M111="damaged"),"Quarantine","Returned")),IF(C111="issue","Issued",IF(C111="transfer","Moved",IF(C111="write_off","Written off",IF(C111="unfilled","Unfilled",""))))))))</f>
      </c>
      <c r="B111" s="31"/>
      <c r="C111" s="35"/>
      <c r="D111" s="33"/>
      <c r="E111" s="31"/>
      <c r="F111" s="31"/>
      <c r="G111" s="37">
        <f>IF(F111="","",IF(ISNA(MATCH(F111,'Item master'!$A$2:$A$301,0)),"Not in Item master",IFERROR(INDEX('Item master'!$B$2:$B$301,MATCH(F111,'Item master'!$A$2:$A$301,0))&amp;"","")))</f>
      </c>
      <c r="H111" s="34"/>
      <c r="I111" s="31"/>
      <c r="J111" s="31"/>
      <c r="K111" s="33"/>
      <c r="L111" s="31"/>
      <c r="M111" s="35"/>
      <c r="N111" s="30"/>
      <c r="O111" s="30"/>
      <c r="P111" s="36"/>
      <c r="Q111" s="38">
        <f>IF(OR(C111&lt;&gt;"loan",E111=""),"",IF(ISNA(MATCH(E111,Units!$A$2:$A$501,0)),"",IF(INDEX(Units!$E$2:$E$501,MATCH(E111,Units!$A$2:$A$501,0))="","",IF(K111="","No due date",IF(INT(K111)&gt;INDEX(Units!$E$2:$E$501,MATCH(E111,Units!$A$2:$A$501,0)),"Past cal date","OK")))))</f>
      </c>
      <c r="R111" s="37">
        <f>IF(A111="Overdue",K111+ROW()/10000000,"")</f>
      </c>
    </row>
    <row r="112">
      <c r="A112" s="38">
        <f>IF(C112="","",IF(B112="","Needs ID",IF(OR(C112="loan",C112="send_out"),IF(COUNTIF($L$2:$L$1001,B112)&gt;0,"Closed",IF(K112="","Open",IF(K112&lt;NOW(),"Overdue","Open"))),IF(C112="return",IF(OR(L112="",COUNTIF($B$2:$B$1001,L112)=0),"No match",IF(OR(M112="worn",M112="damaged"),"Quarantine","Returned")),IF(C112="issue","Issued",IF(C112="transfer","Moved",IF(C112="write_off","Written off",IF(C112="unfilled","Unfilled",""))))))))</f>
      </c>
      <c r="B112" s="31"/>
      <c r="C112" s="35"/>
      <c r="D112" s="33"/>
      <c r="E112" s="31"/>
      <c r="F112" s="31"/>
      <c r="G112" s="37">
        <f>IF(F112="","",IF(ISNA(MATCH(F112,'Item master'!$A$2:$A$301,0)),"Not in Item master",IFERROR(INDEX('Item master'!$B$2:$B$301,MATCH(F112,'Item master'!$A$2:$A$301,0))&amp;"","")))</f>
      </c>
      <c r="H112" s="34"/>
      <c r="I112" s="31"/>
      <c r="J112" s="31"/>
      <c r="K112" s="33"/>
      <c r="L112" s="31"/>
      <c r="M112" s="35"/>
      <c r="N112" s="30"/>
      <c r="O112" s="30"/>
      <c r="P112" s="36"/>
      <c r="Q112" s="38">
        <f>IF(OR(C112&lt;&gt;"loan",E112=""),"",IF(ISNA(MATCH(E112,Units!$A$2:$A$501,0)),"",IF(INDEX(Units!$E$2:$E$501,MATCH(E112,Units!$A$2:$A$501,0))="","",IF(K112="","No due date",IF(INT(K112)&gt;INDEX(Units!$E$2:$E$501,MATCH(E112,Units!$A$2:$A$501,0)),"Past cal date","OK")))))</f>
      </c>
      <c r="R112" s="37">
        <f>IF(A112="Overdue",K112+ROW()/10000000,"")</f>
      </c>
    </row>
    <row r="113">
      <c r="A113" s="38">
        <f>IF(C113="","",IF(B113="","Needs ID",IF(OR(C113="loan",C113="send_out"),IF(COUNTIF($L$2:$L$1001,B113)&gt;0,"Closed",IF(K113="","Open",IF(K113&lt;NOW(),"Overdue","Open"))),IF(C113="return",IF(OR(L113="",COUNTIF($B$2:$B$1001,L113)=0),"No match",IF(OR(M113="worn",M113="damaged"),"Quarantine","Returned")),IF(C113="issue","Issued",IF(C113="transfer","Moved",IF(C113="write_off","Written off",IF(C113="unfilled","Unfilled",""))))))))</f>
      </c>
      <c r="B113" s="31"/>
      <c r="C113" s="35"/>
      <c r="D113" s="33"/>
      <c r="E113" s="31"/>
      <c r="F113" s="31"/>
      <c r="G113" s="37">
        <f>IF(F113="","",IF(ISNA(MATCH(F113,'Item master'!$A$2:$A$301,0)),"Not in Item master",IFERROR(INDEX('Item master'!$B$2:$B$301,MATCH(F113,'Item master'!$A$2:$A$301,0))&amp;"","")))</f>
      </c>
      <c r="H113" s="34"/>
      <c r="I113" s="31"/>
      <c r="J113" s="31"/>
      <c r="K113" s="33"/>
      <c r="L113" s="31"/>
      <c r="M113" s="35"/>
      <c r="N113" s="30"/>
      <c r="O113" s="30"/>
      <c r="P113" s="36"/>
      <c r="Q113" s="38">
        <f>IF(OR(C113&lt;&gt;"loan",E113=""),"",IF(ISNA(MATCH(E113,Units!$A$2:$A$501,0)),"",IF(INDEX(Units!$E$2:$E$501,MATCH(E113,Units!$A$2:$A$501,0))="","",IF(K113="","No due date",IF(INT(K113)&gt;INDEX(Units!$E$2:$E$501,MATCH(E113,Units!$A$2:$A$501,0)),"Past cal date","OK")))))</f>
      </c>
      <c r="R113" s="37">
        <f>IF(A113="Overdue",K113+ROW()/10000000,"")</f>
      </c>
    </row>
    <row r="114">
      <c r="A114" s="38">
        <f>IF(C114="","",IF(B114="","Needs ID",IF(OR(C114="loan",C114="send_out"),IF(COUNTIF($L$2:$L$1001,B114)&gt;0,"Closed",IF(K114="","Open",IF(K114&lt;NOW(),"Overdue","Open"))),IF(C114="return",IF(OR(L114="",COUNTIF($B$2:$B$1001,L114)=0),"No match",IF(OR(M114="worn",M114="damaged"),"Quarantine","Returned")),IF(C114="issue","Issued",IF(C114="transfer","Moved",IF(C114="write_off","Written off",IF(C114="unfilled","Unfilled",""))))))))</f>
      </c>
      <c r="B114" s="31"/>
      <c r="C114" s="35"/>
      <c r="D114" s="33"/>
      <c r="E114" s="31"/>
      <c r="F114" s="31"/>
      <c r="G114" s="37">
        <f>IF(F114="","",IF(ISNA(MATCH(F114,'Item master'!$A$2:$A$301,0)),"Not in Item master",IFERROR(INDEX('Item master'!$B$2:$B$301,MATCH(F114,'Item master'!$A$2:$A$301,0))&amp;"","")))</f>
      </c>
      <c r="H114" s="34"/>
      <c r="I114" s="31"/>
      <c r="J114" s="31"/>
      <c r="K114" s="33"/>
      <c r="L114" s="31"/>
      <c r="M114" s="35"/>
      <c r="N114" s="30"/>
      <c r="O114" s="30"/>
      <c r="P114" s="36"/>
      <c r="Q114" s="38">
        <f>IF(OR(C114&lt;&gt;"loan",E114=""),"",IF(ISNA(MATCH(E114,Units!$A$2:$A$501,0)),"",IF(INDEX(Units!$E$2:$E$501,MATCH(E114,Units!$A$2:$A$501,0))="","",IF(K114="","No due date",IF(INT(K114)&gt;INDEX(Units!$E$2:$E$501,MATCH(E114,Units!$A$2:$A$501,0)),"Past cal date","OK")))))</f>
      </c>
      <c r="R114" s="37">
        <f>IF(A114="Overdue",K114+ROW()/10000000,"")</f>
      </c>
    </row>
    <row r="115">
      <c r="A115" s="38">
        <f>IF(C115="","",IF(B115="","Needs ID",IF(OR(C115="loan",C115="send_out"),IF(COUNTIF($L$2:$L$1001,B115)&gt;0,"Closed",IF(K115="","Open",IF(K115&lt;NOW(),"Overdue","Open"))),IF(C115="return",IF(OR(L115="",COUNTIF($B$2:$B$1001,L115)=0),"No match",IF(OR(M115="worn",M115="damaged"),"Quarantine","Returned")),IF(C115="issue","Issued",IF(C115="transfer","Moved",IF(C115="write_off","Written off",IF(C115="unfilled","Unfilled",""))))))))</f>
      </c>
      <c r="B115" s="31"/>
      <c r="C115" s="35"/>
      <c r="D115" s="33"/>
      <c r="E115" s="31"/>
      <c r="F115" s="31"/>
      <c r="G115" s="37">
        <f>IF(F115="","",IF(ISNA(MATCH(F115,'Item master'!$A$2:$A$301,0)),"Not in Item master",IFERROR(INDEX('Item master'!$B$2:$B$301,MATCH(F115,'Item master'!$A$2:$A$301,0))&amp;"","")))</f>
      </c>
      <c r="H115" s="34"/>
      <c r="I115" s="31"/>
      <c r="J115" s="31"/>
      <c r="K115" s="33"/>
      <c r="L115" s="31"/>
      <c r="M115" s="35"/>
      <c r="N115" s="30"/>
      <c r="O115" s="30"/>
      <c r="P115" s="36"/>
      <c r="Q115" s="38">
        <f>IF(OR(C115&lt;&gt;"loan",E115=""),"",IF(ISNA(MATCH(E115,Units!$A$2:$A$501,0)),"",IF(INDEX(Units!$E$2:$E$501,MATCH(E115,Units!$A$2:$A$501,0))="","",IF(K115="","No due date",IF(INT(K115)&gt;INDEX(Units!$E$2:$E$501,MATCH(E115,Units!$A$2:$A$501,0)),"Past cal date","OK")))))</f>
      </c>
      <c r="R115" s="37">
        <f>IF(A115="Overdue",K115+ROW()/10000000,"")</f>
      </c>
    </row>
    <row r="116">
      <c r="A116" s="38">
        <f>IF(C116="","",IF(B116="","Needs ID",IF(OR(C116="loan",C116="send_out"),IF(COUNTIF($L$2:$L$1001,B116)&gt;0,"Closed",IF(K116="","Open",IF(K116&lt;NOW(),"Overdue","Open"))),IF(C116="return",IF(OR(L116="",COUNTIF($B$2:$B$1001,L116)=0),"No match",IF(OR(M116="worn",M116="damaged"),"Quarantine","Returned")),IF(C116="issue","Issued",IF(C116="transfer","Moved",IF(C116="write_off","Written off",IF(C116="unfilled","Unfilled",""))))))))</f>
      </c>
      <c r="B116" s="31"/>
      <c r="C116" s="35"/>
      <c r="D116" s="33"/>
      <c r="E116" s="31"/>
      <c r="F116" s="31"/>
      <c r="G116" s="37">
        <f>IF(F116="","",IF(ISNA(MATCH(F116,'Item master'!$A$2:$A$301,0)),"Not in Item master",IFERROR(INDEX('Item master'!$B$2:$B$301,MATCH(F116,'Item master'!$A$2:$A$301,0))&amp;"","")))</f>
      </c>
      <c r="H116" s="34"/>
      <c r="I116" s="31"/>
      <c r="J116" s="31"/>
      <c r="K116" s="33"/>
      <c r="L116" s="31"/>
      <c r="M116" s="35"/>
      <c r="N116" s="30"/>
      <c r="O116" s="30"/>
      <c r="P116" s="36"/>
      <c r="Q116" s="38">
        <f>IF(OR(C116&lt;&gt;"loan",E116=""),"",IF(ISNA(MATCH(E116,Units!$A$2:$A$501,0)),"",IF(INDEX(Units!$E$2:$E$501,MATCH(E116,Units!$A$2:$A$501,0))="","",IF(K116="","No due date",IF(INT(K116)&gt;INDEX(Units!$E$2:$E$501,MATCH(E116,Units!$A$2:$A$501,0)),"Past cal date","OK")))))</f>
      </c>
      <c r="R116" s="37">
        <f>IF(A116="Overdue",K116+ROW()/10000000,"")</f>
      </c>
    </row>
    <row r="117">
      <c r="A117" s="38">
        <f>IF(C117="","",IF(B117="","Needs ID",IF(OR(C117="loan",C117="send_out"),IF(COUNTIF($L$2:$L$1001,B117)&gt;0,"Closed",IF(K117="","Open",IF(K117&lt;NOW(),"Overdue","Open"))),IF(C117="return",IF(OR(L117="",COUNTIF($B$2:$B$1001,L117)=0),"No match",IF(OR(M117="worn",M117="damaged"),"Quarantine","Returned")),IF(C117="issue","Issued",IF(C117="transfer","Moved",IF(C117="write_off","Written off",IF(C117="unfilled","Unfilled",""))))))))</f>
      </c>
      <c r="B117" s="31"/>
      <c r="C117" s="35"/>
      <c r="D117" s="33"/>
      <c r="E117" s="31"/>
      <c r="F117" s="31"/>
      <c r="G117" s="37">
        <f>IF(F117="","",IF(ISNA(MATCH(F117,'Item master'!$A$2:$A$301,0)),"Not in Item master",IFERROR(INDEX('Item master'!$B$2:$B$301,MATCH(F117,'Item master'!$A$2:$A$301,0))&amp;"","")))</f>
      </c>
      <c r="H117" s="34"/>
      <c r="I117" s="31"/>
      <c r="J117" s="31"/>
      <c r="K117" s="33"/>
      <c r="L117" s="31"/>
      <c r="M117" s="35"/>
      <c r="N117" s="30"/>
      <c r="O117" s="30"/>
      <c r="P117" s="36"/>
      <c r="Q117" s="38">
        <f>IF(OR(C117&lt;&gt;"loan",E117=""),"",IF(ISNA(MATCH(E117,Units!$A$2:$A$501,0)),"",IF(INDEX(Units!$E$2:$E$501,MATCH(E117,Units!$A$2:$A$501,0))="","",IF(K117="","No due date",IF(INT(K117)&gt;INDEX(Units!$E$2:$E$501,MATCH(E117,Units!$A$2:$A$501,0)),"Past cal date","OK")))))</f>
      </c>
      <c r="R117" s="37">
        <f>IF(A117="Overdue",K117+ROW()/10000000,"")</f>
      </c>
    </row>
    <row r="118">
      <c r="A118" s="38">
        <f>IF(C118="","",IF(B118="","Needs ID",IF(OR(C118="loan",C118="send_out"),IF(COUNTIF($L$2:$L$1001,B118)&gt;0,"Closed",IF(K118="","Open",IF(K118&lt;NOW(),"Overdue","Open"))),IF(C118="return",IF(OR(L118="",COUNTIF($B$2:$B$1001,L118)=0),"No match",IF(OR(M118="worn",M118="damaged"),"Quarantine","Returned")),IF(C118="issue","Issued",IF(C118="transfer","Moved",IF(C118="write_off","Written off",IF(C118="unfilled","Unfilled",""))))))))</f>
      </c>
      <c r="B118" s="31"/>
      <c r="C118" s="35"/>
      <c r="D118" s="33"/>
      <c r="E118" s="31"/>
      <c r="F118" s="31"/>
      <c r="G118" s="37">
        <f>IF(F118="","",IF(ISNA(MATCH(F118,'Item master'!$A$2:$A$301,0)),"Not in Item master",IFERROR(INDEX('Item master'!$B$2:$B$301,MATCH(F118,'Item master'!$A$2:$A$301,0))&amp;"","")))</f>
      </c>
      <c r="H118" s="34"/>
      <c r="I118" s="31"/>
      <c r="J118" s="31"/>
      <c r="K118" s="33"/>
      <c r="L118" s="31"/>
      <c r="M118" s="35"/>
      <c r="N118" s="30"/>
      <c r="O118" s="30"/>
      <c r="P118" s="36"/>
      <c r="Q118" s="38">
        <f>IF(OR(C118&lt;&gt;"loan",E118=""),"",IF(ISNA(MATCH(E118,Units!$A$2:$A$501,0)),"",IF(INDEX(Units!$E$2:$E$501,MATCH(E118,Units!$A$2:$A$501,0))="","",IF(K118="","No due date",IF(INT(K118)&gt;INDEX(Units!$E$2:$E$501,MATCH(E118,Units!$A$2:$A$501,0)),"Past cal date","OK")))))</f>
      </c>
      <c r="R118" s="37">
        <f>IF(A118="Overdue",K118+ROW()/10000000,"")</f>
      </c>
    </row>
    <row r="119">
      <c r="A119" s="38">
        <f>IF(C119="","",IF(B119="","Needs ID",IF(OR(C119="loan",C119="send_out"),IF(COUNTIF($L$2:$L$1001,B119)&gt;0,"Closed",IF(K119="","Open",IF(K119&lt;NOW(),"Overdue","Open"))),IF(C119="return",IF(OR(L119="",COUNTIF($B$2:$B$1001,L119)=0),"No match",IF(OR(M119="worn",M119="damaged"),"Quarantine","Returned")),IF(C119="issue","Issued",IF(C119="transfer","Moved",IF(C119="write_off","Written off",IF(C119="unfilled","Unfilled",""))))))))</f>
      </c>
      <c r="B119" s="31"/>
      <c r="C119" s="35"/>
      <c r="D119" s="33"/>
      <c r="E119" s="31"/>
      <c r="F119" s="31"/>
      <c r="G119" s="37">
        <f>IF(F119="","",IF(ISNA(MATCH(F119,'Item master'!$A$2:$A$301,0)),"Not in Item master",IFERROR(INDEX('Item master'!$B$2:$B$301,MATCH(F119,'Item master'!$A$2:$A$301,0))&amp;"","")))</f>
      </c>
      <c r="H119" s="34"/>
      <c r="I119" s="31"/>
      <c r="J119" s="31"/>
      <c r="K119" s="33"/>
      <c r="L119" s="31"/>
      <c r="M119" s="35"/>
      <c r="N119" s="30"/>
      <c r="O119" s="30"/>
      <c r="P119" s="36"/>
      <c r="Q119" s="38">
        <f>IF(OR(C119&lt;&gt;"loan",E119=""),"",IF(ISNA(MATCH(E119,Units!$A$2:$A$501,0)),"",IF(INDEX(Units!$E$2:$E$501,MATCH(E119,Units!$A$2:$A$501,0))="","",IF(K119="","No due date",IF(INT(K119)&gt;INDEX(Units!$E$2:$E$501,MATCH(E119,Units!$A$2:$A$501,0)),"Past cal date","OK")))))</f>
      </c>
      <c r="R119" s="37">
        <f>IF(A119="Overdue",K119+ROW()/10000000,"")</f>
      </c>
    </row>
    <row r="120">
      <c r="A120" s="38">
        <f>IF(C120="","",IF(B120="","Needs ID",IF(OR(C120="loan",C120="send_out"),IF(COUNTIF($L$2:$L$1001,B120)&gt;0,"Closed",IF(K120="","Open",IF(K120&lt;NOW(),"Overdue","Open"))),IF(C120="return",IF(OR(L120="",COUNTIF($B$2:$B$1001,L120)=0),"No match",IF(OR(M120="worn",M120="damaged"),"Quarantine","Returned")),IF(C120="issue","Issued",IF(C120="transfer","Moved",IF(C120="write_off","Written off",IF(C120="unfilled","Unfilled",""))))))))</f>
      </c>
      <c r="B120" s="31"/>
      <c r="C120" s="35"/>
      <c r="D120" s="33"/>
      <c r="E120" s="31"/>
      <c r="F120" s="31"/>
      <c r="G120" s="37">
        <f>IF(F120="","",IF(ISNA(MATCH(F120,'Item master'!$A$2:$A$301,0)),"Not in Item master",IFERROR(INDEX('Item master'!$B$2:$B$301,MATCH(F120,'Item master'!$A$2:$A$301,0))&amp;"","")))</f>
      </c>
      <c r="H120" s="34"/>
      <c r="I120" s="31"/>
      <c r="J120" s="31"/>
      <c r="K120" s="33"/>
      <c r="L120" s="31"/>
      <c r="M120" s="35"/>
      <c r="N120" s="30"/>
      <c r="O120" s="30"/>
      <c r="P120" s="36"/>
      <c r="Q120" s="38">
        <f>IF(OR(C120&lt;&gt;"loan",E120=""),"",IF(ISNA(MATCH(E120,Units!$A$2:$A$501,0)),"",IF(INDEX(Units!$E$2:$E$501,MATCH(E120,Units!$A$2:$A$501,0))="","",IF(K120="","No due date",IF(INT(K120)&gt;INDEX(Units!$E$2:$E$501,MATCH(E120,Units!$A$2:$A$501,0)),"Past cal date","OK")))))</f>
      </c>
      <c r="R120" s="37">
        <f>IF(A120="Overdue",K120+ROW()/10000000,"")</f>
      </c>
    </row>
    <row r="121">
      <c r="A121" s="38">
        <f>IF(C121="","",IF(B121="","Needs ID",IF(OR(C121="loan",C121="send_out"),IF(COUNTIF($L$2:$L$1001,B121)&gt;0,"Closed",IF(K121="","Open",IF(K121&lt;NOW(),"Overdue","Open"))),IF(C121="return",IF(OR(L121="",COUNTIF($B$2:$B$1001,L121)=0),"No match",IF(OR(M121="worn",M121="damaged"),"Quarantine","Returned")),IF(C121="issue","Issued",IF(C121="transfer","Moved",IF(C121="write_off","Written off",IF(C121="unfilled","Unfilled",""))))))))</f>
      </c>
      <c r="B121" s="31"/>
      <c r="C121" s="35"/>
      <c r="D121" s="33"/>
      <c r="E121" s="31"/>
      <c r="F121" s="31"/>
      <c r="G121" s="37">
        <f>IF(F121="","",IF(ISNA(MATCH(F121,'Item master'!$A$2:$A$301,0)),"Not in Item master",IFERROR(INDEX('Item master'!$B$2:$B$301,MATCH(F121,'Item master'!$A$2:$A$301,0))&amp;"","")))</f>
      </c>
      <c r="H121" s="34"/>
      <c r="I121" s="31"/>
      <c r="J121" s="31"/>
      <c r="K121" s="33"/>
      <c r="L121" s="31"/>
      <c r="M121" s="35"/>
      <c r="N121" s="30"/>
      <c r="O121" s="30"/>
      <c r="P121" s="36"/>
      <c r="Q121" s="38">
        <f>IF(OR(C121&lt;&gt;"loan",E121=""),"",IF(ISNA(MATCH(E121,Units!$A$2:$A$501,0)),"",IF(INDEX(Units!$E$2:$E$501,MATCH(E121,Units!$A$2:$A$501,0))="","",IF(K121="","No due date",IF(INT(K121)&gt;INDEX(Units!$E$2:$E$501,MATCH(E121,Units!$A$2:$A$501,0)),"Past cal date","OK")))))</f>
      </c>
      <c r="R121" s="37">
        <f>IF(A121="Overdue",K121+ROW()/10000000,"")</f>
      </c>
    </row>
    <row r="122">
      <c r="A122" s="38">
        <f>IF(C122="","",IF(B122="","Needs ID",IF(OR(C122="loan",C122="send_out"),IF(COUNTIF($L$2:$L$1001,B122)&gt;0,"Closed",IF(K122="","Open",IF(K122&lt;NOW(),"Overdue","Open"))),IF(C122="return",IF(OR(L122="",COUNTIF($B$2:$B$1001,L122)=0),"No match",IF(OR(M122="worn",M122="damaged"),"Quarantine","Returned")),IF(C122="issue","Issued",IF(C122="transfer","Moved",IF(C122="write_off","Written off",IF(C122="unfilled","Unfilled",""))))))))</f>
      </c>
      <c r="B122" s="31"/>
      <c r="C122" s="35"/>
      <c r="D122" s="33"/>
      <c r="E122" s="31"/>
      <c r="F122" s="31"/>
      <c r="G122" s="37">
        <f>IF(F122="","",IF(ISNA(MATCH(F122,'Item master'!$A$2:$A$301,0)),"Not in Item master",IFERROR(INDEX('Item master'!$B$2:$B$301,MATCH(F122,'Item master'!$A$2:$A$301,0))&amp;"","")))</f>
      </c>
      <c r="H122" s="34"/>
      <c r="I122" s="31"/>
      <c r="J122" s="31"/>
      <c r="K122" s="33"/>
      <c r="L122" s="31"/>
      <c r="M122" s="35"/>
      <c r="N122" s="30"/>
      <c r="O122" s="30"/>
      <c r="P122" s="36"/>
      <c r="Q122" s="38">
        <f>IF(OR(C122&lt;&gt;"loan",E122=""),"",IF(ISNA(MATCH(E122,Units!$A$2:$A$501,0)),"",IF(INDEX(Units!$E$2:$E$501,MATCH(E122,Units!$A$2:$A$501,0))="","",IF(K122="","No due date",IF(INT(K122)&gt;INDEX(Units!$E$2:$E$501,MATCH(E122,Units!$A$2:$A$501,0)),"Past cal date","OK")))))</f>
      </c>
      <c r="R122" s="37">
        <f>IF(A122="Overdue",K122+ROW()/10000000,"")</f>
      </c>
    </row>
    <row r="123">
      <c r="A123" s="38">
        <f>IF(C123="","",IF(B123="","Needs ID",IF(OR(C123="loan",C123="send_out"),IF(COUNTIF($L$2:$L$1001,B123)&gt;0,"Closed",IF(K123="","Open",IF(K123&lt;NOW(),"Overdue","Open"))),IF(C123="return",IF(OR(L123="",COUNTIF($B$2:$B$1001,L123)=0),"No match",IF(OR(M123="worn",M123="damaged"),"Quarantine","Returned")),IF(C123="issue","Issued",IF(C123="transfer","Moved",IF(C123="write_off","Written off",IF(C123="unfilled","Unfilled",""))))))))</f>
      </c>
      <c r="B123" s="31"/>
      <c r="C123" s="35"/>
      <c r="D123" s="33"/>
      <c r="E123" s="31"/>
      <c r="F123" s="31"/>
      <c r="G123" s="37">
        <f>IF(F123="","",IF(ISNA(MATCH(F123,'Item master'!$A$2:$A$301,0)),"Not in Item master",IFERROR(INDEX('Item master'!$B$2:$B$301,MATCH(F123,'Item master'!$A$2:$A$301,0))&amp;"","")))</f>
      </c>
      <c r="H123" s="34"/>
      <c r="I123" s="31"/>
      <c r="J123" s="31"/>
      <c r="K123" s="33"/>
      <c r="L123" s="31"/>
      <c r="M123" s="35"/>
      <c r="N123" s="30"/>
      <c r="O123" s="30"/>
      <c r="P123" s="36"/>
      <c r="Q123" s="38">
        <f>IF(OR(C123&lt;&gt;"loan",E123=""),"",IF(ISNA(MATCH(E123,Units!$A$2:$A$501,0)),"",IF(INDEX(Units!$E$2:$E$501,MATCH(E123,Units!$A$2:$A$501,0))="","",IF(K123="","No due date",IF(INT(K123)&gt;INDEX(Units!$E$2:$E$501,MATCH(E123,Units!$A$2:$A$501,0)),"Past cal date","OK")))))</f>
      </c>
      <c r="R123" s="37">
        <f>IF(A123="Overdue",K123+ROW()/10000000,"")</f>
      </c>
    </row>
    <row r="124">
      <c r="A124" s="38">
        <f>IF(C124="","",IF(B124="","Needs ID",IF(OR(C124="loan",C124="send_out"),IF(COUNTIF($L$2:$L$1001,B124)&gt;0,"Closed",IF(K124="","Open",IF(K124&lt;NOW(),"Overdue","Open"))),IF(C124="return",IF(OR(L124="",COUNTIF($B$2:$B$1001,L124)=0),"No match",IF(OR(M124="worn",M124="damaged"),"Quarantine","Returned")),IF(C124="issue","Issued",IF(C124="transfer","Moved",IF(C124="write_off","Written off",IF(C124="unfilled","Unfilled",""))))))))</f>
      </c>
      <c r="B124" s="31"/>
      <c r="C124" s="35"/>
      <c r="D124" s="33"/>
      <c r="E124" s="31"/>
      <c r="F124" s="31"/>
      <c r="G124" s="37">
        <f>IF(F124="","",IF(ISNA(MATCH(F124,'Item master'!$A$2:$A$301,0)),"Not in Item master",IFERROR(INDEX('Item master'!$B$2:$B$301,MATCH(F124,'Item master'!$A$2:$A$301,0))&amp;"","")))</f>
      </c>
      <c r="H124" s="34"/>
      <c r="I124" s="31"/>
      <c r="J124" s="31"/>
      <c r="K124" s="33"/>
      <c r="L124" s="31"/>
      <c r="M124" s="35"/>
      <c r="N124" s="30"/>
      <c r="O124" s="30"/>
      <c r="P124" s="36"/>
      <c r="Q124" s="38">
        <f>IF(OR(C124&lt;&gt;"loan",E124=""),"",IF(ISNA(MATCH(E124,Units!$A$2:$A$501,0)),"",IF(INDEX(Units!$E$2:$E$501,MATCH(E124,Units!$A$2:$A$501,0))="","",IF(K124="","No due date",IF(INT(K124)&gt;INDEX(Units!$E$2:$E$501,MATCH(E124,Units!$A$2:$A$501,0)),"Past cal date","OK")))))</f>
      </c>
      <c r="R124" s="37">
        <f>IF(A124="Overdue",K124+ROW()/10000000,"")</f>
      </c>
    </row>
    <row r="125">
      <c r="A125" s="38">
        <f>IF(C125="","",IF(B125="","Needs ID",IF(OR(C125="loan",C125="send_out"),IF(COUNTIF($L$2:$L$1001,B125)&gt;0,"Closed",IF(K125="","Open",IF(K125&lt;NOW(),"Overdue","Open"))),IF(C125="return",IF(OR(L125="",COUNTIF($B$2:$B$1001,L125)=0),"No match",IF(OR(M125="worn",M125="damaged"),"Quarantine","Returned")),IF(C125="issue","Issued",IF(C125="transfer","Moved",IF(C125="write_off","Written off",IF(C125="unfilled","Unfilled",""))))))))</f>
      </c>
      <c r="B125" s="31"/>
      <c r="C125" s="35"/>
      <c r="D125" s="33"/>
      <c r="E125" s="31"/>
      <c r="F125" s="31"/>
      <c r="G125" s="37">
        <f>IF(F125="","",IF(ISNA(MATCH(F125,'Item master'!$A$2:$A$301,0)),"Not in Item master",IFERROR(INDEX('Item master'!$B$2:$B$301,MATCH(F125,'Item master'!$A$2:$A$301,0))&amp;"","")))</f>
      </c>
      <c r="H125" s="34"/>
      <c r="I125" s="31"/>
      <c r="J125" s="31"/>
      <c r="K125" s="33"/>
      <c r="L125" s="31"/>
      <c r="M125" s="35"/>
      <c r="N125" s="30"/>
      <c r="O125" s="30"/>
      <c r="P125" s="36"/>
      <c r="Q125" s="38">
        <f>IF(OR(C125&lt;&gt;"loan",E125=""),"",IF(ISNA(MATCH(E125,Units!$A$2:$A$501,0)),"",IF(INDEX(Units!$E$2:$E$501,MATCH(E125,Units!$A$2:$A$501,0))="","",IF(K125="","No due date",IF(INT(K125)&gt;INDEX(Units!$E$2:$E$501,MATCH(E125,Units!$A$2:$A$501,0)),"Past cal date","OK")))))</f>
      </c>
      <c r="R125" s="37">
        <f>IF(A125="Overdue",K125+ROW()/10000000,"")</f>
      </c>
    </row>
    <row r="126">
      <c r="A126" s="38">
        <f>IF(C126="","",IF(B126="","Needs ID",IF(OR(C126="loan",C126="send_out"),IF(COUNTIF($L$2:$L$1001,B126)&gt;0,"Closed",IF(K126="","Open",IF(K126&lt;NOW(),"Overdue","Open"))),IF(C126="return",IF(OR(L126="",COUNTIF($B$2:$B$1001,L126)=0),"No match",IF(OR(M126="worn",M126="damaged"),"Quarantine","Returned")),IF(C126="issue","Issued",IF(C126="transfer","Moved",IF(C126="write_off","Written off",IF(C126="unfilled","Unfilled",""))))))))</f>
      </c>
      <c r="B126" s="31"/>
      <c r="C126" s="35"/>
      <c r="D126" s="33"/>
      <c r="E126" s="31"/>
      <c r="F126" s="31"/>
      <c r="G126" s="37">
        <f>IF(F126="","",IF(ISNA(MATCH(F126,'Item master'!$A$2:$A$301,0)),"Not in Item master",IFERROR(INDEX('Item master'!$B$2:$B$301,MATCH(F126,'Item master'!$A$2:$A$301,0))&amp;"","")))</f>
      </c>
      <c r="H126" s="34"/>
      <c r="I126" s="31"/>
      <c r="J126" s="31"/>
      <c r="K126" s="33"/>
      <c r="L126" s="31"/>
      <c r="M126" s="35"/>
      <c r="N126" s="30"/>
      <c r="O126" s="30"/>
      <c r="P126" s="36"/>
      <c r="Q126" s="38">
        <f>IF(OR(C126&lt;&gt;"loan",E126=""),"",IF(ISNA(MATCH(E126,Units!$A$2:$A$501,0)),"",IF(INDEX(Units!$E$2:$E$501,MATCH(E126,Units!$A$2:$A$501,0))="","",IF(K126="","No due date",IF(INT(K126)&gt;INDEX(Units!$E$2:$E$501,MATCH(E126,Units!$A$2:$A$501,0)),"Past cal date","OK")))))</f>
      </c>
      <c r="R126" s="37">
        <f>IF(A126="Overdue",K126+ROW()/10000000,"")</f>
      </c>
    </row>
    <row r="127">
      <c r="A127" s="38">
        <f>IF(C127="","",IF(B127="","Needs ID",IF(OR(C127="loan",C127="send_out"),IF(COUNTIF($L$2:$L$1001,B127)&gt;0,"Closed",IF(K127="","Open",IF(K127&lt;NOW(),"Overdue","Open"))),IF(C127="return",IF(OR(L127="",COUNTIF($B$2:$B$1001,L127)=0),"No match",IF(OR(M127="worn",M127="damaged"),"Quarantine","Returned")),IF(C127="issue","Issued",IF(C127="transfer","Moved",IF(C127="write_off","Written off",IF(C127="unfilled","Unfilled",""))))))))</f>
      </c>
      <c r="B127" s="31"/>
      <c r="C127" s="35"/>
      <c r="D127" s="33"/>
      <c r="E127" s="31"/>
      <c r="F127" s="31"/>
      <c r="G127" s="37">
        <f>IF(F127="","",IF(ISNA(MATCH(F127,'Item master'!$A$2:$A$301,0)),"Not in Item master",IFERROR(INDEX('Item master'!$B$2:$B$301,MATCH(F127,'Item master'!$A$2:$A$301,0))&amp;"","")))</f>
      </c>
      <c r="H127" s="34"/>
      <c r="I127" s="31"/>
      <c r="J127" s="31"/>
      <c r="K127" s="33"/>
      <c r="L127" s="31"/>
      <c r="M127" s="35"/>
      <c r="N127" s="30"/>
      <c r="O127" s="30"/>
      <c r="P127" s="36"/>
      <c r="Q127" s="38">
        <f>IF(OR(C127&lt;&gt;"loan",E127=""),"",IF(ISNA(MATCH(E127,Units!$A$2:$A$501,0)),"",IF(INDEX(Units!$E$2:$E$501,MATCH(E127,Units!$A$2:$A$501,0))="","",IF(K127="","No due date",IF(INT(K127)&gt;INDEX(Units!$E$2:$E$501,MATCH(E127,Units!$A$2:$A$501,0)),"Past cal date","OK")))))</f>
      </c>
      <c r="R127" s="37">
        <f>IF(A127="Overdue",K127+ROW()/10000000,"")</f>
      </c>
    </row>
    <row r="128">
      <c r="A128" s="38">
        <f>IF(C128="","",IF(B128="","Needs ID",IF(OR(C128="loan",C128="send_out"),IF(COUNTIF($L$2:$L$1001,B128)&gt;0,"Closed",IF(K128="","Open",IF(K128&lt;NOW(),"Overdue","Open"))),IF(C128="return",IF(OR(L128="",COUNTIF($B$2:$B$1001,L128)=0),"No match",IF(OR(M128="worn",M128="damaged"),"Quarantine","Returned")),IF(C128="issue","Issued",IF(C128="transfer","Moved",IF(C128="write_off","Written off",IF(C128="unfilled","Unfilled",""))))))))</f>
      </c>
      <c r="B128" s="31"/>
      <c r="C128" s="35"/>
      <c r="D128" s="33"/>
      <c r="E128" s="31"/>
      <c r="F128" s="31"/>
      <c r="G128" s="37">
        <f>IF(F128="","",IF(ISNA(MATCH(F128,'Item master'!$A$2:$A$301,0)),"Not in Item master",IFERROR(INDEX('Item master'!$B$2:$B$301,MATCH(F128,'Item master'!$A$2:$A$301,0))&amp;"","")))</f>
      </c>
      <c r="H128" s="34"/>
      <c r="I128" s="31"/>
      <c r="J128" s="31"/>
      <c r="K128" s="33"/>
      <c r="L128" s="31"/>
      <c r="M128" s="35"/>
      <c r="N128" s="30"/>
      <c r="O128" s="30"/>
      <c r="P128" s="36"/>
      <c r="Q128" s="38">
        <f>IF(OR(C128&lt;&gt;"loan",E128=""),"",IF(ISNA(MATCH(E128,Units!$A$2:$A$501,0)),"",IF(INDEX(Units!$E$2:$E$501,MATCH(E128,Units!$A$2:$A$501,0))="","",IF(K128="","No due date",IF(INT(K128)&gt;INDEX(Units!$E$2:$E$501,MATCH(E128,Units!$A$2:$A$501,0)),"Past cal date","OK")))))</f>
      </c>
      <c r="R128" s="37">
        <f>IF(A128="Overdue",K128+ROW()/10000000,"")</f>
      </c>
    </row>
    <row r="129">
      <c r="A129" s="38">
        <f>IF(C129="","",IF(B129="","Needs ID",IF(OR(C129="loan",C129="send_out"),IF(COUNTIF($L$2:$L$1001,B129)&gt;0,"Closed",IF(K129="","Open",IF(K129&lt;NOW(),"Overdue","Open"))),IF(C129="return",IF(OR(L129="",COUNTIF($B$2:$B$1001,L129)=0),"No match",IF(OR(M129="worn",M129="damaged"),"Quarantine","Returned")),IF(C129="issue","Issued",IF(C129="transfer","Moved",IF(C129="write_off","Written off",IF(C129="unfilled","Unfilled",""))))))))</f>
      </c>
      <c r="B129" s="31"/>
      <c r="C129" s="35"/>
      <c r="D129" s="33"/>
      <c r="E129" s="31"/>
      <c r="F129" s="31"/>
      <c r="G129" s="37">
        <f>IF(F129="","",IF(ISNA(MATCH(F129,'Item master'!$A$2:$A$301,0)),"Not in Item master",IFERROR(INDEX('Item master'!$B$2:$B$301,MATCH(F129,'Item master'!$A$2:$A$301,0))&amp;"","")))</f>
      </c>
      <c r="H129" s="34"/>
      <c r="I129" s="31"/>
      <c r="J129" s="31"/>
      <c r="K129" s="33"/>
      <c r="L129" s="31"/>
      <c r="M129" s="35"/>
      <c r="N129" s="30"/>
      <c r="O129" s="30"/>
      <c r="P129" s="36"/>
      <c r="Q129" s="38">
        <f>IF(OR(C129&lt;&gt;"loan",E129=""),"",IF(ISNA(MATCH(E129,Units!$A$2:$A$501,0)),"",IF(INDEX(Units!$E$2:$E$501,MATCH(E129,Units!$A$2:$A$501,0))="","",IF(K129="","No due date",IF(INT(K129)&gt;INDEX(Units!$E$2:$E$501,MATCH(E129,Units!$A$2:$A$501,0)),"Past cal date","OK")))))</f>
      </c>
      <c r="R129" s="37">
        <f>IF(A129="Overdue",K129+ROW()/10000000,"")</f>
      </c>
    </row>
    <row r="130">
      <c r="A130" s="38">
        <f>IF(C130="","",IF(B130="","Needs ID",IF(OR(C130="loan",C130="send_out"),IF(COUNTIF($L$2:$L$1001,B130)&gt;0,"Closed",IF(K130="","Open",IF(K130&lt;NOW(),"Overdue","Open"))),IF(C130="return",IF(OR(L130="",COUNTIF($B$2:$B$1001,L130)=0),"No match",IF(OR(M130="worn",M130="damaged"),"Quarantine","Returned")),IF(C130="issue","Issued",IF(C130="transfer","Moved",IF(C130="write_off","Written off",IF(C130="unfilled","Unfilled",""))))))))</f>
      </c>
      <c r="B130" s="31"/>
      <c r="C130" s="35"/>
      <c r="D130" s="33"/>
      <c r="E130" s="31"/>
      <c r="F130" s="31"/>
      <c r="G130" s="37">
        <f>IF(F130="","",IF(ISNA(MATCH(F130,'Item master'!$A$2:$A$301,0)),"Not in Item master",IFERROR(INDEX('Item master'!$B$2:$B$301,MATCH(F130,'Item master'!$A$2:$A$301,0))&amp;"","")))</f>
      </c>
      <c r="H130" s="34"/>
      <c r="I130" s="31"/>
      <c r="J130" s="31"/>
      <c r="K130" s="33"/>
      <c r="L130" s="31"/>
      <c r="M130" s="35"/>
      <c r="N130" s="30"/>
      <c r="O130" s="30"/>
      <c r="P130" s="36"/>
      <c r="Q130" s="38">
        <f>IF(OR(C130&lt;&gt;"loan",E130=""),"",IF(ISNA(MATCH(E130,Units!$A$2:$A$501,0)),"",IF(INDEX(Units!$E$2:$E$501,MATCH(E130,Units!$A$2:$A$501,0))="","",IF(K130="","No due date",IF(INT(K130)&gt;INDEX(Units!$E$2:$E$501,MATCH(E130,Units!$A$2:$A$501,0)),"Past cal date","OK")))))</f>
      </c>
      <c r="R130" s="37">
        <f>IF(A130="Overdue",K130+ROW()/10000000,"")</f>
      </c>
    </row>
    <row r="131">
      <c r="A131" s="38">
        <f>IF(C131="","",IF(B131="","Needs ID",IF(OR(C131="loan",C131="send_out"),IF(COUNTIF($L$2:$L$1001,B131)&gt;0,"Closed",IF(K131="","Open",IF(K131&lt;NOW(),"Overdue","Open"))),IF(C131="return",IF(OR(L131="",COUNTIF($B$2:$B$1001,L131)=0),"No match",IF(OR(M131="worn",M131="damaged"),"Quarantine","Returned")),IF(C131="issue","Issued",IF(C131="transfer","Moved",IF(C131="write_off","Written off",IF(C131="unfilled","Unfilled",""))))))))</f>
      </c>
      <c r="B131" s="31"/>
      <c r="C131" s="35"/>
      <c r="D131" s="33"/>
      <c r="E131" s="31"/>
      <c r="F131" s="31"/>
      <c r="G131" s="37">
        <f>IF(F131="","",IF(ISNA(MATCH(F131,'Item master'!$A$2:$A$301,0)),"Not in Item master",IFERROR(INDEX('Item master'!$B$2:$B$301,MATCH(F131,'Item master'!$A$2:$A$301,0))&amp;"","")))</f>
      </c>
      <c r="H131" s="34"/>
      <c r="I131" s="31"/>
      <c r="J131" s="31"/>
      <c r="K131" s="33"/>
      <c r="L131" s="31"/>
      <c r="M131" s="35"/>
      <c r="N131" s="30"/>
      <c r="O131" s="30"/>
      <c r="P131" s="36"/>
      <c r="Q131" s="38">
        <f>IF(OR(C131&lt;&gt;"loan",E131=""),"",IF(ISNA(MATCH(E131,Units!$A$2:$A$501,0)),"",IF(INDEX(Units!$E$2:$E$501,MATCH(E131,Units!$A$2:$A$501,0))="","",IF(K131="","No due date",IF(INT(K131)&gt;INDEX(Units!$E$2:$E$501,MATCH(E131,Units!$A$2:$A$501,0)),"Past cal date","OK")))))</f>
      </c>
      <c r="R131" s="37">
        <f>IF(A131="Overdue",K131+ROW()/10000000,"")</f>
      </c>
    </row>
    <row r="132">
      <c r="A132" s="38">
        <f>IF(C132="","",IF(B132="","Needs ID",IF(OR(C132="loan",C132="send_out"),IF(COUNTIF($L$2:$L$1001,B132)&gt;0,"Closed",IF(K132="","Open",IF(K132&lt;NOW(),"Overdue","Open"))),IF(C132="return",IF(OR(L132="",COUNTIF($B$2:$B$1001,L132)=0),"No match",IF(OR(M132="worn",M132="damaged"),"Quarantine","Returned")),IF(C132="issue","Issued",IF(C132="transfer","Moved",IF(C132="write_off","Written off",IF(C132="unfilled","Unfilled",""))))))))</f>
      </c>
      <c r="B132" s="31"/>
      <c r="C132" s="35"/>
      <c r="D132" s="33"/>
      <c r="E132" s="31"/>
      <c r="F132" s="31"/>
      <c r="G132" s="37">
        <f>IF(F132="","",IF(ISNA(MATCH(F132,'Item master'!$A$2:$A$301,0)),"Not in Item master",IFERROR(INDEX('Item master'!$B$2:$B$301,MATCH(F132,'Item master'!$A$2:$A$301,0))&amp;"","")))</f>
      </c>
      <c r="H132" s="34"/>
      <c r="I132" s="31"/>
      <c r="J132" s="31"/>
      <c r="K132" s="33"/>
      <c r="L132" s="31"/>
      <c r="M132" s="35"/>
      <c r="N132" s="30"/>
      <c r="O132" s="30"/>
      <c r="P132" s="36"/>
      <c r="Q132" s="38">
        <f>IF(OR(C132&lt;&gt;"loan",E132=""),"",IF(ISNA(MATCH(E132,Units!$A$2:$A$501,0)),"",IF(INDEX(Units!$E$2:$E$501,MATCH(E132,Units!$A$2:$A$501,0))="","",IF(K132="","No due date",IF(INT(K132)&gt;INDEX(Units!$E$2:$E$501,MATCH(E132,Units!$A$2:$A$501,0)),"Past cal date","OK")))))</f>
      </c>
      <c r="R132" s="37">
        <f>IF(A132="Overdue",K132+ROW()/10000000,"")</f>
      </c>
    </row>
    <row r="133">
      <c r="A133" s="38">
        <f>IF(C133="","",IF(B133="","Needs ID",IF(OR(C133="loan",C133="send_out"),IF(COUNTIF($L$2:$L$1001,B133)&gt;0,"Closed",IF(K133="","Open",IF(K133&lt;NOW(),"Overdue","Open"))),IF(C133="return",IF(OR(L133="",COUNTIF($B$2:$B$1001,L133)=0),"No match",IF(OR(M133="worn",M133="damaged"),"Quarantine","Returned")),IF(C133="issue","Issued",IF(C133="transfer","Moved",IF(C133="write_off","Written off",IF(C133="unfilled","Unfilled",""))))))))</f>
      </c>
      <c r="B133" s="31"/>
      <c r="C133" s="35"/>
      <c r="D133" s="33"/>
      <c r="E133" s="31"/>
      <c r="F133" s="31"/>
      <c r="G133" s="37">
        <f>IF(F133="","",IF(ISNA(MATCH(F133,'Item master'!$A$2:$A$301,0)),"Not in Item master",IFERROR(INDEX('Item master'!$B$2:$B$301,MATCH(F133,'Item master'!$A$2:$A$301,0))&amp;"","")))</f>
      </c>
      <c r="H133" s="34"/>
      <c r="I133" s="31"/>
      <c r="J133" s="31"/>
      <c r="K133" s="33"/>
      <c r="L133" s="31"/>
      <c r="M133" s="35"/>
      <c r="N133" s="30"/>
      <c r="O133" s="30"/>
      <c r="P133" s="36"/>
      <c r="Q133" s="38">
        <f>IF(OR(C133&lt;&gt;"loan",E133=""),"",IF(ISNA(MATCH(E133,Units!$A$2:$A$501,0)),"",IF(INDEX(Units!$E$2:$E$501,MATCH(E133,Units!$A$2:$A$501,0))="","",IF(K133="","No due date",IF(INT(K133)&gt;INDEX(Units!$E$2:$E$501,MATCH(E133,Units!$A$2:$A$501,0)),"Past cal date","OK")))))</f>
      </c>
      <c r="R133" s="37">
        <f>IF(A133="Overdue",K133+ROW()/10000000,"")</f>
      </c>
    </row>
    <row r="134">
      <c r="A134" s="38">
        <f>IF(C134="","",IF(B134="","Needs ID",IF(OR(C134="loan",C134="send_out"),IF(COUNTIF($L$2:$L$1001,B134)&gt;0,"Closed",IF(K134="","Open",IF(K134&lt;NOW(),"Overdue","Open"))),IF(C134="return",IF(OR(L134="",COUNTIF($B$2:$B$1001,L134)=0),"No match",IF(OR(M134="worn",M134="damaged"),"Quarantine","Returned")),IF(C134="issue","Issued",IF(C134="transfer","Moved",IF(C134="write_off","Written off",IF(C134="unfilled","Unfilled",""))))))))</f>
      </c>
      <c r="B134" s="31"/>
      <c r="C134" s="35"/>
      <c r="D134" s="33"/>
      <c r="E134" s="31"/>
      <c r="F134" s="31"/>
      <c r="G134" s="37">
        <f>IF(F134="","",IF(ISNA(MATCH(F134,'Item master'!$A$2:$A$301,0)),"Not in Item master",IFERROR(INDEX('Item master'!$B$2:$B$301,MATCH(F134,'Item master'!$A$2:$A$301,0))&amp;"","")))</f>
      </c>
      <c r="H134" s="34"/>
      <c r="I134" s="31"/>
      <c r="J134" s="31"/>
      <c r="K134" s="33"/>
      <c r="L134" s="31"/>
      <c r="M134" s="35"/>
      <c r="N134" s="30"/>
      <c r="O134" s="30"/>
      <c r="P134" s="36"/>
      <c r="Q134" s="38">
        <f>IF(OR(C134&lt;&gt;"loan",E134=""),"",IF(ISNA(MATCH(E134,Units!$A$2:$A$501,0)),"",IF(INDEX(Units!$E$2:$E$501,MATCH(E134,Units!$A$2:$A$501,0))="","",IF(K134="","No due date",IF(INT(K134)&gt;INDEX(Units!$E$2:$E$501,MATCH(E134,Units!$A$2:$A$501,0)),"Past cal date","OK")))))</f>
      </c>
      <c r="R134" s="37">
        <f>IF(A134="Overdue",K134+ROW()/10000000,"")</f>
      </c>
    </row>
    <row r="135">
      <c r="A135" s="38">
        <f>IF(C135="","",IF(B135="","Needs ID",IF(OR(C135="loan",C135="send_out"),IF(COUNTIF($L$2:$L$1001,B135)&gt;0,"Closed",IF(K135="","Open",IF(K135&lt;NOW(),"Overdue","Open"))),IF(C135="return",IF(OR(L135="",COUNTIF($B$2:$B$1001,L135)=0),"No match",IF(OR(M135="worn",M135="damaged"),"Quarantine","Returned")),IF(C135="issue","Issued",IF(C135="transfer","Moved",IF(C135="write_off","Written off",IF(C135="unfilled","Unfilled",""))))))))</f>
      </c>
      <c r="B135" s="31"/>
      <c r="C135" s="35"/>
      <c r="D135" s="33"/>
      <c r="E135" s="31"/>
      <c r="F135" s="31"/>
      <c r="G135" s="37">
        <f>IF(F135="","",IF(ISNA(MATCH(F135,'Item master'!$A$2:$A$301,0)),"Not in Item master",IFERROR(INDEX('Item master'!$B$2:$B$301,MATCH(F135,'Item master'!$A$2:$A$301,0))&amp;"","")))</f>
      </c>
      <c r="H135" s="34"/>
      <c r="I135" s="31"/>
      <c r="J135" s="31"/>
      <c r="K135" s="33"/>
      <c r="L135" s="31"/>
      <c r="M135" s="35"/>
      <c r="N135" s="30"/>
      <c r="O135" s="30"/>
      <c r="P135" s="36"/>
      <c r="Q135" s="38">
        <f>IF(OR(C135&lt;&gt;"loan",E135=""),"",IF(ISNA(MATCH(E135,Units!$A$2:$A$501,0)),"",IF(INDEX(Units!$E$2:$E$501,MATCH(E135,Units!$A$2:$A$501,0))="","",IF(K135="","No due date",IF(INT(K135)&gt;INDEX(Units!$E$2:$E$501,MATCH(E135,Units!$A$2:$A$501,0)),"Past cal date","OK")))))</f>
      </c>
      <c r="R135" s="37">
        <f>IF(A135="Overdue",K135+ROW()/10000000,"")</f>
      </c>
    </row>
    <row r="136">
      <c r="A136" s="38">
        <f>IF(C136="","",IF(B136="","Needs ID",IF(OR(C136="loan",C136="send_out"),IF(COUNTIF($L$2:$L$1001,B136)&gt;0,"Closed",IF(K136="","Open",IF(K136&lt;NOW(),"Overdue","Open"))),IF(C136="return",IF(OR(L136="",COUNTIF($B$2:$B$1001,L136)=0),"No match",IF(OR(M136="worn",M136="damaged"),"Quarantine","Returned")),IF(C136="issue","Issued",IF(C136="transfer","Moved",IF(C136="write_off","Written off",IF(C136="unfilled","Unfilled",""))))))))</f>
      </c>
      <c r="B136" s="31"/>
      <c r="C136" s="35"/>
      <c r="D136" s="33"/>
      <c r="E136" s="31"/>
      <c r="F136" s="31"/>
      <c r="G136" s="37">
        <f>IF(F136="","",IF(ISNA(MATCH(F136,'Item master'!$A$2:$A$301,0)),"Not in Item master",IFERROR(INDEX('Item master'!$B$2:$B$301,MATCH(F136,'Item master'!$A$2:$A$301,0))&amp;"","")))</f>
      </c>
      <c r="H136" s="34"/>
      <c r="I136" s="31"/>
      <c r="J136" s="31"/>
      <c r="K136" s="33"/>
      <c r="L136" s="31"/>
      <c r="M136" s="35"/>
      <c r="N136" s="30"/>
      <c r="O136" s="30"/>
      <c r="P136" s="36"/>
      <c r="Q136" s="38">
        <f>IF(OR(C136&lt;&gt;"loan",E136=""),"",IF(ISNA(MATCH(E136,Units!$A$2:$A$501,0)),"",IF(INDEX(Units!$E$2:$E$501,MATCH(E136,Units!$A$2:$A$501,0))="","",IF(K136="","No due date",IF(INT(K136)&gt;INDEX(Units!$E$2:$E$501,MATCH(E136,Units!$A$2:$A$501,0)),"Past cal date","OK")))))</f>
      </c>
      <c r="R136" s="37">
        <f>IF(A136="Overdue",K136+ROW()/10000000,"")</f>
      </c>
    </row>
    <row r="137">
      <c r="A137" s="38">
        <f>IF(C137="","",IF(B137="","Needs ID",IF(OR(C137="loan",C137="send_out"),IF(COUNTIF($L$2:$L$1001,B137)&gt;0,"Closed",IF(K137="","Open",IF(K137&lt;NOW(),"Overdue","Open"))),IF(C137="return",IF(OR(L137="",COUNTIF($B$2:$B$1001,L137)=0),"No match",IF(OR(M137="worn",M137="damaged"),"Quarantine","Returned")),IF(C137="issue","Issued",IF(C137="transfer","Moved",IF(C137="write_off","Written off",IF(C137="unfilled","Unfilled",""))))))))</f>
      </c>
      <c r="B137" s="31"/>
      <c r="C137" s="35"/>
      <c r="D137" s="33"/>
      <c r="E137" s="31"/>
      <c r="F137" s="31"/>
      <c r="G137" s="37">
        <f>IF(F137="","",IF(ISNA(MATCH(F137,'Item master'!$A$2:$A$301,0)),"Not in Item master",IFERROR(INDEX('Item master'!$B$2:$B$301,MATCH(F137,'Item master'!$A$2:$A$301,0))&amp;"","")))</f>
      </c>
      <c r="H137" s="34"/>
      <c r="I137" s="31"/>
      <c r="J137" s="31"/>
      <c r="K137" s="33"/>
      <c r="L137" s="31"/>
      <c r="M137" s="35"/>
      <c r="N137" s="30"/>
      <c r="O137" s="30"/>
      <c r="P137" s="36"/>
      <c r="Q137" s="38">
        <f>IF(OR(C137&lt;&gt;"loan",E137=""),"",IF(ISNA(MATCH(E137,Units!$A$2:$A$501,0)),"",IF(INDEX(Units!$E$2:$E$501,MATCH(E137,Units!$A$2:$A$501,0))="","",IF(K137="","No due date",IF(INT(K137)&gt;INDEX(Units!$E$2:$E$501,MATCH(E137,Units!$A$2:$A$501,0)),"Past cal date","OK")))))</f>
      </c>
      <c r="R137" s="37">
        <f>IF(A137="Overdue",K137+ROW()/10000000,"")</f>
      </c>
    </row>
    <row r="138">
      <c r="A138" s="38">
        <f>IF(C138="","",IF(B138="","Needs ID",IF(OR(C138="loan",C138="send_out"),IF(COUNTIF($L$2:$L$1001,B138)&gt;0,"Closed",IF(K138="","Open",IF(K138&lt;NOW(),"Overdue","Open"))),IF(C138="return",IF(OR(L138="",COUNTIF($B$2:$B$1001,L138)=0),"No match",IF(OR(M138="worn",M138="damaged"),"Quarantine","Returned")),IF(C138="issue","Issued",IF(C138="transfer","Moved",IF(C138="write_off","Written off",IF(C138="unfilled","Unfilled",""))))))))</f>
      </c>
      <c r="B138" s="31"/>
      <c r="C138" s="35"/>
      <c r="D138" s="33"/>
      <c r="E138" s="31"/>
      <c r="F138" s="31"/>
      <c r="G138" s="37">
        <f>IF(F138="","",IF(ISNA(MATCH(F138,'Item master'!$A$2:$A$301,0)),"Not in Item master",IFERROR(INDEX('Item master'!$B$2:$B$301,MATCH(F138,'Item master'!$A$2:$A$301,0))&amp;"","")))</f>
      </c>
      <c r="H138" s="34"/>
      <c r="I138" s="31"/>
      <c r="J138" s="31"/>
      <c r="K138" s="33"/>
      <c r="L138" s="31"/>
      <c r="M138" s="35"/>
      <c r="N138" s="30"/>
      <c r="O138" s="30"/>
      <c r="P138" s="36"/>
      <c r="Q138" s="38">
        <f>IF(OR(C138&lt;&gt;"loan",E138=""),"",IF(ISNA(MATCH(E138,Units!$A$2:$A$501,0)),"",IF(INDEX(Units!$E$2:$E$501,MATCH(E138,Units!$A$2:$A$501,0))="","",IF(K138="","No due date",IF(INT(K138)&gt;INDEX(Units!$E$2:$E$501,MATCH(E138,Units!$A$2:$A$501,0)),"Past cal date","OK")))))</f>
      </c>
      <c r="R138" s="37">
        <f>IF(A138="Overdue",K138+ROW()/10000000,"")</f>
      </c>
    </row>
    <row r="139">
      <c r="A139" s="38">
        <f>IF(C139="","",IF(B139="","Needs ID",IF(OR(C139="loan",C139="send_out"),IF(COUNTIF($L$2:$L$1001,B139)&gt;0,"Closed",IF(K139="","Open",IF(K139&lt;NOW(),"Overdue","Open"))),IF(C139="return",IF(OR(L139="",COUNTIF($B$2:$B$1001,L139)=0),"No match",IF(OR(M139="worn",M139="damaged"),"Quarantine","Returned")),IF(C139="issue","Issued",IF(C139="transfer","Moved",IF(C139="write_off","Written off",IF(C139="unfilled","Unfilled",""))))))))</f>
      </c>
      <c r="B139" s="31"/>
      <c r="C139" s="35"/>
      <c r="D139" s="33"/>
      <c r="E139" s="31"/>
      <c r="F139" s="31"/>
      <c r="G139" s="37">
        <f>IF(F139="","",IF(ISNA(MATCH(F139,'Item master'!$A$2:$A$301,0)),"Not in Item master",IFERROR(INDEX('Item master'!$B$2:$B$301,MATCH(F139,'Item master'!$A$2:$A$301,0))&amp;"","")))</f>
      </c>
      <c r="H139" s="34"/>
      <c r="I139" s="31"/>
      <c r="J139" s="31"/>
      <c r="K139" s="33"/>
      <c r="L139" s="31"/>
      <c r="M139" s="35"/>
      <c r="N139" s="30"/>
      <c r="O139" s="30"/>
      <c r="P139" s="36"/>
      <c r="Q139" s="38">
        <f>IF(OR(C139&lt;&gt;"loan",E139=""),"",IF(ISNA(MATCH(E139,Units!$A$2:$A$501,0)),"",IF(INDEX(Units!$E$2:$E$501,MATCH(E139,Units!$A$2:$A$501,0))="","",IF(K139="","No due date",IF(INT(K139)&gt;INDEX(Units!$E$2:$E$501,MATCH(E139,Units!$A$2:$A$501,0)),"Past cal date","OK")))))</f>
      </c>
      <c r="R139" s="37">
        <f>IF(A139="Overdue",K139+ROW()/10000000,"")</f>
      </c>
    </row>
    <row r="140">
      <c r="A140" s="38">
        <f>IF(C140="","",IF(B140="","Needs ID",IF(OR(C140="loan",C140="send_out"),IF(COUNTIF($L$2:$L$1001,B140)&gt;0,"Closed",IF(K140="","Open",IF(K140&lt;NOW(),"Overdue","Open"))),IF(C140="return",IF(OR(L140="",COUNTIF($B$2:$B$1001,L140)=0),"No match",IF(OR(M140="worn",M140="damaged"),"Quarantine","Returned")),IF(C140="issue","Issued",IF(C140="transfer","Moved",IF(C140="write_off","Written off",IF(C140="unfilled","Unfilled",""))))))))</f>
      </c>
      <c r="B140" s="31"/>
      <c r="C140" s="35"/>
      <c r="D140" s="33"/>
      <c r="E140" s="31"/>
      <c r="F140" s="31"/>
      <c r="G140" s="37">
        <f>IF(F140="","",IF(ISNA(MATCH(F140,'Item master'!$A$2:$A$301,0)),"Not in Item master",IFERROR(INDEX('Item master'!$B$2:$B$301,MATCH(F140,'Item master'!$A$2:$A$301,0))&amp;"","")))</f>
      </c>
      <c r="H140" s="34"/>
      <c r="I140" s="31"/>
      <c r="J140" s="31"/>
      <c r="K140" s="33"/>
      <c r="L140" s="31"/>
      <c r="M140" s="35"/>
      <c r="N140" s="30"/>
      <c r="O140" s="30"/>
      <c r="P140" s="36"/>
      <c r="Q140" s="38">
        <f>IF(OR(C140&lt;&gt;"loan",E140=""),"",IF(ISNA(MATCH(E140,Units!$A$2:$A$501,0)),"",IF(INDEX(Units!$E$2:$E$501,MATCH(E140,Units!$A$2:$A$501,0))="","",IF(K140="","No due date",IF(INT(K140)&gt;INDEX(Units!$E$2:$E$501,MATCH(E140,Units!$A$2:$A$501,0)),"Past cal date","OK")))))</f>
      </c>
      <c r="R140" s="37">
        <f>IF(A140="Overdue",K140+ROW()/10000000,"")</f>
      </c>
    </row>
    <row r="141">
      <c r="A141" s="38">
        <f>IF(C141="","",IF(B141="","Needs ID",IF(OR(C141="loan",C141="send_out"),IF(COUNTIF($L$2:$L$1001,B141)&gt;0,"Closed",IF(K141="","Open",IF(K141&lt;NOW(),"Overdue","Open"))),IF(C141="return",IF(OR(L141="",COUNTIF($B$2:$B$1001,L141)=0),"No match",IF(OR(M141="worn",M141="damaged"),"Quarantine","Returned")),IF(C141="issue","Issued",IF(C141="transfer","Moved",IF(C141="write_off","Written off",IF(C141="unfilled","Unfilled",""))))))))</f>
      </c>
      <c r="B141" s="31"/>
      <c r="C141" s="35"/>
      <c r="D141" s="33"/>
      <c r="E141" s="31"/>
      <c r="F141" s="31"/>
      <c r="G141" s="37">
        <f>IF(F141="","",IF(ISNA(MATCH(F141,'Item master'!$A$2:$A$301,0)),"Not in Item master",IFERROR(INDEX('Item master'!$B$2:$B$301,MATCH(F141,'Item master'!$A$2:$A$301,0))&amp;"","")))</f>
      </c>
      <c r="H141" s="34"/>
      <c r="I141" s="31"/>
      <c r="J141" s="31"/>
      <c r="K141" s="33"/>
      <c r="L141" s="31"/>
      <c r="M141" s="35"/>
      <c r="N141" s="30"/>
      <c r="O141" s="30"/>
      <c r="P141" s="36"/>
      <c r="Q141" s="38">
        <f>IF(OR(C141&lt;&gt;"loan",E141=""),"",IF(ISNA(MATCH(E141,Units!$A$2:$A$501,0)),"",IF(INDEX(Units!$E$2:$E$501,MATCH(E141,Units!$A$2:$A$501,0))="","",IF(K141="","No due date",IF(INT(K141)&gt;INDEX(Units!$E$2:$E$501,MATCH(E141,Units!$A$2:$A$501,0)),"Past cal date","OK")))))</f>
      </c>
      <c r="R141" s="37">
        <f>IF(A141="Overdue",K141+ROW()/10000000,"")</f>
      </c>
    </row>
    <row r="142">
      <c r="A142" s="38">
        <f>IF(C142="","",IF(B142="","Needs ID",IF(OR(C142="loan",C142="send_out"),IF(COUNTIF($L$2:$L$1001,B142)&gt;0,"Closed",IF(K142="","Open",IF(K142&lt;NOW(),"Overdue","Open"))),IF(C142="return",IF(OR(L142="",COUNTIF($B$2:$B$1001,L142)=0),"No match",IF(OR(M142="worn",M142="damaged"),"Quarantine","Returned")),IF(C142="issue","Issued",IF(C142="transfer","Moved",IF(C142="write_off","Written off",IF(C142="unfilled","Unfilled",""))))))))</f>
      </c>
      <c r="B142" s="31"/>
      <c r="C142" s="35"/>
      <c r="D142" s="33"/>
      <c r="E142" s="31"/>
      <c r="F142" s="31"/>
      <c r="G142" s="37">
        <f>IF(F142="","",IF(ISNA(MATCH(F142,'Item master'!$A$2:$A$301,0)),"Not in Item master",IFERROR(INDEX('Item master'!$B$2:$B$301,MATCH(F142,'Item master'!$A$2:$A$301,0))&amp;"","")))</f>
      </c>
      <c r="H142" s="34"/>
      <c r="I142" s="31"/>
      <c r="J142" s="31"/>
      <c r="K142" s="33"/>
      <c r="L142" s="31"/>
      <c r="M142" s="35"/>
      <c r="N142" s="30"/>
      <c r="O142" s="30"/>
      <c r="P142" s="36"/>
      <c r="Q142" s="38">
        <f>IF(OR(C142&lt;&gt;"loan",E142=""),"",IF(ISNA(MATCH(E142,Units!$A$2:$A$501,0)),"",IF(INDEX(Units!$E$2:$E$501,MATCH(E142,Units!$A$2:$A$501,0))="","",IF(K142="","No due date",IF(INT(K142)&gt;INDEX(Units!$E$2:$E$501,MATCH(E142,Units!$A$2:$A$501,0)),"Past cal date","OK")))))</f>
      </c>
      <c r="R142" s="37">
        <f>IF(A142="Overdue",K142+ROW()/10000000,"")</f>
      </c>
    </row>
    <row r="143">
      <c r="A143" s="38">
        <f>IF(C143="","",IF(B143="","Needs ID",IF(OR(C143="loan",C143="send_out"),IF(COUNTIF($L$2:$L$1001,B143)&gt;0,"Closed",IF(K143="","Open",IF(K143&lt;NOW(),"Overdue","Open"))),IF(C143="return",IF(OR(L143="",COUNTIF($B$2:$B$1001,L143)=0),"No match",IF(OR(M143="worn",M143="damaged"),"Quarantine","Returned")),IF(C143="issue","Issued",IF(C143="transfer","Moved",IF(C143="write_off","Written off",IF(C143="unfilled","Unfilled",""))))))))</f>
      </c>
      <c r="B143" s="31"/>
      <c r="C143" s="35"/>
      <c r="D143" s="33"/>
      <c r="E143" s="31"/>
      <c r="F143" s="31"/>
      <c r="G143" s="37">
        <f>IF(F143="","",IF(ISNA(MATCH(F143,'Item master'!$A$2:$A$301,0)),"Not in Item master",IFERROR(INDEX('Item master'!$B$2:$B$301,MATCH(F143,'Item master'!$A$2:$A$301,0))&amp;"","")))</f>
      </c>
      <c r="H143" s="34"/>
      <c r="I143" s="31"/>
      <c r="J143" s="31"/>
      <c r="K143" s="33"/>
      <c r="L143" s="31"/>
      <c r="M143" s="35"/>
      <c r="N143" s="30"/>
      <c r="O143" s="30"/>
      <c r="P143" s="36"/>
      <c r="Q143" s="38">
        <f>IF(OR(C143&lt;&gt;"loan",E143=""),"",IF(ISNA(MATCH(E143,Units!$A$2:$A$501,0)),"",IF(INDEX(Units!$E$2:$E$501,MATCH(E143,Units!$A$2:$A$501,0))="","",IF(K143="","No due date",IF(INT(K143)&gt;INDEX(Units!$E$2:$E$501,MATCH(E143,Units!$A$2:$A$501,0)),"Past cal date","OK")))))</f>
      </c>
      <c r="R143" s="37">
        <f>IF(A143="Overdue",K143+ROW()/10000000,"")</f>
      </c>
    </row>
    <row r="144">
      <c r="A144" s="38">
        <f>IF(C144="","",IF(B144="","Needs ID",IF(OR(C144="loan",C144="send_out"),IF(COUNTIF($L$2:$L$1001,B144)&gt;0,"Closed",IF(K144="","Open",IF(K144&lt;NOW(),"Overdue","Open"))),IF(C144="return",IF(OR(L144="",COUNTIF($B$2:$B$1001,L144)=0),"No match",IF(OR(M144="worn",M144="damaged"),"Quarantine","Returned")),IF(C144="issue","Issued",IF(C144="transfer","Moved",IF(C144="write_off","Written off",IF(C144="unfilled","Unfilled",""))))))))</f>
      </c>
      <c r="B144" s="31"/>
      <c r="C144" s="35"/>
      <c r="D144" s="33"/>
      <c r="E144" s="31"/>
      <c r="F144" s="31"/>
      <c r="G144" s="37">
        <f>IF(F144="","",IF(ISNA(MATCH(F144,'Item master'!$A$2:$A$301,0)),"Not in Item master",IFERROR(INDEX('Item master'!$B$2:$B$301,MATCH(F144,'Item master'!$A$2:$A$301,0))&amp;"","")))</f>
      </c>
      <c r="H144" s="34"/>
      <c r="I144" s="31"/>
      <c r="J144" s="31"/>
      <c r="K144" s="33"/>
      <c r="L144" s="31"/>
      <c r="M144" s="35"/>
      <c r="N144" s="30"/>
      <c r="O144" s="30"/>
      <c r="P144" s="36"/>
      <c r="Q144" s="38">
        <f>IF(OR(C144&lt;&gt;"loan",E144=""),"",IF(ISNA(MATCH(E144,Units!$A$2:$A$501,0)),"",IF(INDEX(Units!$E$2:$E$501,MATCH(E144,Units!$A$2:$A$501,0))="","",IF(K144="","No due date",IF(INT(K144)&gt;INDEX(Units!$E$2:$E$501,MATCH(E144,Units!$A$2:$A$501,0)),"Past cal date","OK")))))</f>
      </c>
      <c r="R144" s="37">
        <f>IF(A144="Overdue",K144+ROW()/10000000,"")</f>
      </c>
    </row>
    <row r="145">
      <c r="A145" s="38">
        <f>IF(C145="","",IF(B145="","Needs ID",IF(OR(C145="loan",C145="send_out"),IF(COUNTIF($L$2:$L$1001,B145)&gt;0,"Closed",IF(K145="","Open",IF(K145&lt;NOW(),"Overdue","Open"))),IF(C145="return",IF(OR(L145="",COUNTIF($B$2:$B$1001,L145)=0),"No match",IF(OR(M145="worn",M145="damaged"),"Quarantine","Returned")),IF(C145="issue","Issued",IF(C145="transfer","Moved",IF(C145="write_off","Written off",IF(C145="unfilled","Unfilled",""))))))))</f>
      </c>
      <c r="B145" s="31"/>
      <c r="C145" s="35"/>
      <c r="D145" s="33"/>
      <c r="E145" s="31"/>
      <c r="F145" s="31"/>
      <c r="G145" s="37">
        <f>IF(F145="","",IF(ISNA(MATCH(F145,'Item master'!$A$2:$A$301,0)),"Not in Item master",IFERROR(INDEX('Item master'!$B$2:$B$301,MATCH(F145,'Item master'!$A$2:$A$301,0))&amp;"","")))</f>
      </c>
      <c r="H145" s="34"/>
      <c r="I145" s="31"/>
      <c r="J145" s="31"/>
      <c r="K145" s="33"/>
      <c r="L145" s="31"/>
      <c r="M145" s="35"/>
      <c r="N145" s="30"/>
      <c r="O145" s="30"/>
      <c r="P145" s="36"/>
      <c r="Q145" s="38">
        <f>IF(OR(C145&lt;&gt;"loan",E145=""),"",IF(ISNA(MATCH(E145,Units!$A$2:$A$501,0)),"",IF(INDEX(Units!$E$2:$E$501,MATCH(E145,Units!$A$2:$A$501,0))="","",IF(K145="","No due date",IF(INT(K145)&gt;INDEX(Units!$E$2:$E$501,MATCH(E145,Units!$A$2:$A$501,0)),"Past cal date","OK")))))</f>
      </c>
      <c r="R145" s="37">
        <f>IF(A145="Overdue",K145+ROW()/10000000,"")</f>
      </c>
    </row>
    <row r="146">
      <c r="A146" s="38">
        <f>IF(C146="","",IF(B146="","Needs ID",IF(OR(C146="loan",C146="send_out"),IF(COUNTIF($L$2:$L$1001,B146)&gt;0,"Closed",IF(K146="","Open",IF(K146&lt;NOW(),"Overdue","Open"))),IF(C146="return",IF(OR(L146="",COUNTIF($B$2:$B$1001,L146)=0),"No match",IF(OR(M146="worn",M146="damaged"),"Quarantine","Returned")),IF(C146="issue","Issued",IF(C146="transfer","Moved",IF(C146="write_off","Written off",IF(C146="unfilled","Unfilled",""))))))))</f>
      </c>
      <c r="B146" s="31"/>
      <c r="C146" s="35"/>
      <c r="D146" s="33"/>
      <c r="E146" s="31"/>
      <c r="F146" s="31"/>
      <c r="G146" s="37">
        <f>IF(F146="","",IF(ISNA(MATCH(F146,'Item master'!$A$2:$A$301,0)),"Not in Item master",IFERROR(INDEX('Item master'!$B$2:$B$301,MATCH(F146,'Item master'!$A$2:$A$301,0))&amp;"","")))</f>
      </c>
      <c r="H146" s="34"/>
      <c r="I146" s="31"/>
      <c r="J146" s="31"/>
      <c r="K146" s="33"/>
      <c r="L146" s="31"/>
      <c r="M146" s="35"/>
      <c r="N146" s="30"/>
      <c r="O146" s="30"/>
      <c r="P146" s="36"/>
      <c r="Q146" s="38">
        <f>IF(OR(C146&lt;&gt;"loan",E146=""),"",IF(ISNA(MATCH(E146,Units!$A$2:$A$501,0)),"",IF(INDEX(Units!$E$2:$E$501,MATCH(E146,Units!$A$2:$A$501,0))="","",IF(K146="","No due date",IF(INT(K146)&gt;INDEX(Units!$E$2:$E$501,MATCH(E146,Units!$A$2:$A$501,0)),"Past cal date","OK")))))</f>
      </c>
      <c r="R146" s="37">
        <f>IF(A146="Overdue",K146+ROW()/10000000,"")</f>
      </c>
    </row>
    <row r="147">
      <c r="A147" s="38">
        <f>IF(C147="","",IF(B147="","Needs ID",IF(OR(C147="loan",C147="send_out"),IF(COUNTIF($L$2:$L$1001,B147)&gt;0,"Closed",IF(K147="","Open",IF(K147&lt;NOW(),"Overdue","Open"))),IF(C147="return",IF(OR(L147="",COUNTIF($B$2:$B$1001,L147)=0),"No match",IF(OR(M147="worn",M147="damaged"),"Quarantine","Returned")),IF(C147="issue","Issued",IF(C147="transfer","Moved",IF(C147="write_off","Written off",IF(C147="unfilled","Unfilled",""))))))))</f>
      </c>
      <c r="B147" s="31"/>
      <c r="C147" s="35"/>
      <c r="D147" s="33"/>
      <c r="E147" s="31"/>
      <c r="F147" s="31"/>
      <c r="G147" s="37">
        <f>IF(F147="","",IF(ISNA(MATCH(F147,'Item master'!$A$2:$A$301,0)),"Not in Item master",IFERROR(INDEX('Item master'!$B$2:$B$301,MATCH(F147,'Item master'!$A$2:$A$301,0))&amp;"","")))</f>
      </c>
      <c r="H147" s="34"/>
      <c r="I147" s="31"/>
      <c r="J147" s="31"/>
      <c r="K147" s="33"/>
      <c r="L147" s="31"/>
      <c r="M147" s="35"/>
      <c r="N147" s="30"/>
      <c r="O147" s="30"/>
      <c r="P147" s="36"/>
      <c r="Q147" s="38">
        <f>IF(OR(C147&lt;&gt;"loan",E147=""),"",IF(ISNA(MATCH(E147,Units!$A$2:$A$501,0)),"",IF(INDEX(Units!$E$2:$E$501,MATCH(E147,Units!$A$2:$A$501,0))="","",IF(K147="","No due date",IF(INT(K147)&gt;INDEX(Units!$E$2:$E$501,MATCH(E147,Units!$A$2:$A$501,0)),"Past cal date","OK")))))</f>
      </c>
      <c r="R147" s="37">
        <f>IF(A147="Overdue",K147+ROW()/10000000,"")</f>
      </c>
    </row>
    <row r="148">
      <c r="A148" s="38">
        <f>IF(C148="","",IF(B148="","Needs ID",IF(OR(C148="loan",C148="send_out"),IF(COUNTIF($L$2:$L$1001,B148)&gt;0,"Closed",IF(K148="","Open",IF(K148&lt;NOW(),"Overdue","Open"))),IF(C148="return",IF(OR(L148="",COUNTIF($B$2:$B$1001,L148)=0),"No match",IF(OR(M148="worn",M148="damaged"),"Quarantine","Returned")),IF(C148="issue","Issued",IF(C148="transfer","Moved",IF(C148="write_off","Written off",IF(C148="unfilled","Unfilled",""))))))))</f>
      </c>
      <c r="B148" s="31"/>
      <c r="C148" s="35"/>
      <c r="D148" s="33"/>
      <c r="E148" s="31"/>
      <c r="F148" s="31"/>
      <c r="G148" s="37">
        <f>IF(F148="","",IF(ISNA(MATCH(F148,'Item master'!$A$2:$A$301,0)),"Not in Item master",IFERROR(INDEX('Item master'!$B$2:$B$301,MATCH(F148,'Item master'!$A$2:$A$301,0))&amp;"","")))</f>
      </c>
      <c r="H148" s="34"/>
      <c r="I148" s="31"/>
      <c r="J148" s="31"/>
      <c r="K148" s="33"/>
      <c r="L148" s="31"/>
      <c r="M148" s="35"/>
      <c r="N148" s="30"/>
      <c r="O148" s="30"/>
      <c r="P148" s="36"/>
      <c r="Q148" s="38">
        <f>IF(OR(C148&lt;&gt;"loan",E148=""),"",IF(ISNA(MATCH(E148,Units!$A$2:$A$501,0)),"",IF(INDEX(Units!$E$2:$E$501,MATCH(E148,Units!$A$2:$A$501,0))="","",IF(K148="","No due date",IF(INT(K148)&gt;INDEX(Units!$E$2:$E$501,MATCH(E148,Units!$A$2:$A$501,0)),"Past cal date","OK")))))</f>
      </c>
      <c r="R148" s="37">
        <f>IF(A148="Overdue",K148+ROW()/10000000,"")</f>
      </c>
    </row>
    <row r="149">
      <c r="A149" s="38">
        <f>IF(C149="","",IF(B149="","Needs ID",IF(OR(C149="loan",C149="send_out"),IF(COUNTIF($L$2:$L$1001,B149)&gt;0,"Closed",IF(K149="","Open",IF(K149&lt;NOW(),"Overdue","Open"))),IF(C149="return",IF(OR(L149="",COUNTIF($B$2:$B$1001,L149)=0),"No match",IF(OR(M149="worn",M149="damaged"),"Quarantine","Returned")),IF(C149="issue","Issued",IF(C149="transfer","Moved",IF(C149="write_off","Written off",IF(C149="unfilled","Unfilled",""))))))))</f>
      </c>
      <c r="B149" s="31"/>
      <c r="C149" s="35"/>
      <c r="D149" s="33"/>
      <c r="E149" s="31"/>
      <c r="F149" s="31"/>
      <c r="G149" s="37">
        <f>IF(F149="","",IF(ISNA(MATCH(F149,'Item master'!$A$2:$A$301,0)),"Not in Item master",IFERROR(INDEX('Item master'!$B$2:$B$301,MATCH(F149,'Item master'!$A$2:$A$301,0))&amp;"","")))</f>
      </c>
      <c r="H149" s="34"/>
      <c r="I149" s="31"/>
      <c r="J149" s="31"/>
      <c r="K149" s="33"/>
      <c r="L149" s="31"/>
      <c r="M149" s="35"/>
      <c r="N149" s="30"/>
      <c r="O149" s="30"/>
      <c r="P149" s="36"/>
      <c r="Q149" s="38">
        <f>IF(OR(C149&lt;&gt;"loan",E149=""),"",IF(ISNA(MATCH(E149,Units!$A$2:$A$501,0)),"",IF(INDEX(Units!$E$2:$E$501,MATCH(E149,Units!$A$2:$A$501,0))="","",IF(K149="","No due date",IF(INT(K149)&gt;INDEX(Units!$E$2:$E$501,MATCH(E149,Units!$A$2:$A$501,0)),"Past cal date","OK")))))</f>
      </c>
      <c r="R149" s="37">
        <f>IF(A149="Overdue",K149+ROW()/10000000,"")</f>
      </c>
    </row>
    <row r="150">
      <c r="A150" s="38">
        <f>IF(C150="","",IF(B150="","Needs ID",IF(OR(C150="loan",C150="send_out"),IF(COUNTIF($L$2:$L$1001,B150)&gt;0,"Closed",IF(K150="","Open",IF(K150&lt;NOW(),"Overdue","Open"))),IF(C150="return",IF(OR(L150="",COUNTIF($B$2:$B$1001,L150)=0),"No match",IF(OR(M150="worn",M150="damaged"),"Quarantine","Returned")),IF(C150="issue","Issued",IF(C150="transfer","Moved",IF(C150="write_off","Written off",IF(C150="unfilled","Unfilled",""))))))))</f>
      </c>
      <c r="B150" s="31"/>
      <c r="C150" s="35"/>
      <c r="D150" s="33"/>
      <c r="E150" s="31"/>
      <c r="F150" s="31"/>
      <c r="G150" s="37">
        <f>IF(F150="","",IF(ISNA(MATCH(F150,'Item master'!$A$2:$A$301,0)),"Not in Item master",IFERROR(INDEX('Item master'!$B$2:$B$301,MATCH(F150,'Item master'!$A$2:$A$301,0))&amp;"","")))</f>
      </c>
      <c r="H150" s="34"/>
      <c r="I150" s="31"/>
      <c r="J150" s="31"/>
      <c r="K150" s="33"/>
      <c r="L150" s="31"/>
      <c r="M150" s="35"/>
      <c r="N150" s="30"/>
      <c r="O150" s="30"/>
      <c r="P150" s="36"/>
      <c r="Q150" s="38">
        <f>IF(OR(C150&lt;&gt;"loan",E150=""),"",IF(ISNA(MATCH(E150,Units!$A$2:$A$501,0)),"",IF(INDEX(Units!$E$2:$E$501,MATCH(E150,Units!$A$2:$A$501,0))="","",IF(K150="","No due date",IF(INT(K150)&gt;INDEX(Units!$E$2:$E$501,MATCH(E150,Units!$A$2:$A$501,0)),"Past cal date","OK")))))</f>
      </c>
      <c r="R150" s="37">
        <f>IF(A150="Overdue",K150+ROW()/10000000,"")</f>
      </c>
    </row>
    <row r="151">
      <c r="A151" s="38">
        <f>IF(C151="","",IF(B151="","Needs ID",IF(OR(C151="loan",C151="send_out"),IF(COUNTIF($L$2:$L$1001,B151)&gt;0,"Closed",IF(K151="","Open",IF(K151&lt;NOW(),"Overdue","Open"))),IF(C151="return",IF(OR(L151="",COUNTIF($B$2:$B$1001,L151)=0),"No match",IF(OR(M151="worn",M151="damaged"),"Quarantine","Returned")),IF(C151="issue","Issued",IF(C151="transfer","Moved",IF(C151="write_off","Written off",IF(C151="unfilled","Unfilled",""))))))))</f>
      </c>
      <c r="B151" s="31"/>
      <c r="C151" s="35"/>
      <c r="D151" s="33"/>
      <c r="E151" s="31"/>
      <c r="F151" s="31"/>
      <c r="G151" s="37">
        <f>IF(F151="","",IF(ISNA(MATCH(F151,'Item master'!$A$2:$A$301,0)),"Not in Item master",IFERROR(INDEX('Item master'!$B$2:$B$301,MATCH(F151,'Item master'!$A$2:$A$301,0))&amp;"","")))</f>
      </c>
      <c r="H151" s="34"/>
      <c r="I151" s="31"/>
      <c r="J151" s="31"/>
      <c r="K151" s="33"/>
      <c r="L151" s="31"/>
      <c r="M151" s="35"/>
      <c r="N151" s="30"/>
      <c r="O151" s="30"/>
      <c r="P151" s="36"/>
      <c r="Q151" s="38">
        <f>IF(OR(C151&lt;&gt;"loan",E151=""),"",IF(ISNA(MATCH(E151,Units!$A$2:$A$501,0)),"",IF(INDEX(Units!$E$2:$E$501,MATCH(E151,Units!$A$2:$A$501,0))="","",IF(K151="","No due date",IF(INT(K151)&gt;INDEX(Units!$E$2:$E$501,MATCH(E151,Units!$A$2:$A$501,0)),"Past cal date","OK")))))</f>
      </c>
      <c r="R151" s="37">
        <f>IF(A151="Overdue",K151+ROW()/10000000,"")</f>
      </c>
    </row>
    <row r="152">
      <c r="A152" s="38">
        <f>IF(C152="","",IF(B152="","Needs ID",IF(OR(C152="loan",C152="send_out"),IF(COUNTIF($L$2:$L$1001,B152)&gt;0,"Closed",IF(K152="","Open",IF(K152&lt;NOW(),"Overdue","Open"))),IF(C152="return",IF(OR(L152="",COUNTIF($B$2:$B$1001,L152)=0),"No match",IF(OR(M152="worn",M152="damaged"),"Quarantine","Returned")),IF(C152="issue","Issued",IF(C152="transfer","Moved",IF(C152="write_off","Written off",IF(C152="unfilled","Unfilled",""))))))))</f>
      </c>
      <c r="B152" s="31"/>
      <c r="C152" s="35"/>
      <c r="D152" s="33"/>
      <c r="E152" s="31"/>
      <c r="F152" s="31"/>
      <c r="G152" s="37">
        <f>IF(F152="","",IF(ISNA(MATCH(F152,'Item master'!$A$2:$A$301,0)),"Not in Item master",IFERROR(INDEX('Item master'!$B$2:$B$301,MATCH(F152,'Item master'!$A$2:$A$301,0))&amp;"","")))</f>
      </c>
      <c r="H152" s="34"/>
      <c r="I152" s="31"/>
      <c r="J152" s="31"/>
      <c r="K152" s="33"/>
      <c r="L152" s="31"/>
      <c r="M152" s="35"/>
      <c r="N152" s="30"/>
      <c r="O152" s="30"/>
      <c r="P152" s="36"/>
      <c r="Q152" s="38">
        <f>IF(OR(C152&lt;&gt;"loan",E152=""),"",IF(ISNA(MATCH(E152,Units!$A$2:$A$501,0)),"",IF(INDEX(Units!$E$2:$E$501,MATCH(E152,Units!$A$2:$A$501,0))="","",IF(K152="","No due date",IF(INT(K152)&gt;INDEX(Units!$E$2:$E$501,MATCH(E152,Units!$A$2:$A$501,0)),"Past cal date","OK")))))</f>
      </c>
      <c r="R152" s="37">
        <f>IF(A152="Overdue",K152+ROW()/10000000,"")</f>
      </c>
    </row>
    <row r="153">
      <c r="A153" s="38">
        <f>IF(C153="","",IF(B153="","Needs ID",IF(OR(C153="loan",C153="send_out"),IF(COUNTIF($L$2:$L$1001,B153)&gt;0,"Closed",IF(K153="","Open",IF(K153&lt;NOW(),"Overdue","Open"))),IF(C153="return",IF(OR(L153="",COUNTIF($B$2:$B$1001,L153)=0),"No match",IF(OR(M153="worn",M153="damaged"),"Quarantine","Returned")),IF(C153="issue","Issued",IF(C153="transfer","Moved",IF(C153="write_off","Written off",IF(C153="unfilled","Unfilled",""))))))))</f>
      </c>
      <c r="B153" s="31"/>
      <c r="C153" s="35"/>
      <c r="D153" s="33"/>
      <c r="E153" s="31"/>
      <c r="F153" s="31"/>
      <c r="G153" s="37">
        <f>IF(F153="","",IF(ISNA(MATCH(F153,'Item master'!$A$2:$A$301,0)),"Not in Item master",IFERROR(INDEX('Item master'!$B$2:$B$301,MATCH(F153,'Item master'!$A$2:$A$301,0))&amp;"","")))</f>
      </c>
      <c r="H153" s="34"/>
      <c r="I153" s="31"/>
      <c r="J153" s="31"/>
      <c r="K153" s="33"/>
      <c r="L153" s="31"/>
      <c r="M153" s="35"/>
      <c r="N153" s="30"/>
      <c r="O153" s="30"/>
      <c r="P153" s="36"/>
      <c r="Q153" s="38">
        <f>IF(OR(C153&lt;&gt;"loan",E153=""),"",IF(ISNA(MATCH(E153,Units!$A$2:$A$501,0)),"",IF(INDEX(Units!$E$2:$E$501,MATCH(E153,Units!$A$2:$A$501,0))="","",IF(K153="","No due date",IF(INT(K153)&gt;INDEX(Units!$E$2:$E$501,MATCH(E153,Units!$A$2:$A$501,0)),"Past cal date","OK")))))</f>
      </c>
      <c r="R153" s="37">
        <f>IF(A153="Overdue",K153+ROW()/10000000,"")</f>
      </c>
    </row>
    <row r="154">
      <c r="A154" s="38">
        <f>IF(C154="","",IF(B154="","Needs ID",IF(OR(C154="loan",C154="send_out"),IF(COUNTIF($L$2:$L$1001,B154)&gt;0,"Closed",IF(K154="","Open",IF(K154&lt;NOW(),"Overdue","Open"))),IF(C154="return",IF(OR(L154="",COUNTIF($B$2:$B$1001,L154)=0),"No match",IF(OR(M154="worn",M154="damaged"),"Quarantine","Returned")),IF(C154="issue","Issued",IF(C154="transfer","Moved",IF(C154="write_off","Written off",IF(C154="unfilled","Unfilled",""))))))))</f>
      </c>
      <c r="B154" s="31"/>
      <c r="C154" s="35"/>
      <c r="D154" s="33"/>
      <c r="E154" s="31"/>
      <c r="F154" s="31"/>
      <c r="G154" s="37">
        <f>IF(F154="","",IF(ISNA(MATCH(F154,'Item master'!$A$2:$A$301,0)),"Not in Item master",IFERROR(INDEX('Item master'!$B$2:$B$301,MATCH(F154,'Item master'!$A$2:$A$301,0))&amp;"","")))</f>
      </c>
      <c r="H154" s="34"/>
      <c r="I154" s="31"/>
      <c r="J154" s="31"/>
      <c r="K154" s="33"/>
      <c r="L154" s="31"/>
      <c r="M154" s="35"/>
      <c r="N154" s="30"/>
      <c r="O154" s="30"/>
      <c r="P154" s="36"/>
      <c r="Q154" s="38">
        <f>IF(OR(C154&lt;&gt;"loan",E154=""),"",IF(ISNA(MATCH(E154,Units!$A$2:$A$501,0)),"",IF(INDEX(Units!$E$2:$E$501,MATCH(E154,Units!$A$2:$A$501,0))="","",IF(K154="","No due date",IF(INT(K154)&gt;INDEX(Units!$E$2:$E$501,MATCH(E154,Units!$A$2:$A$501,0)),"Past cal date","OK")))))</f>
      </c>
      <c r="R154" s="37">
        <f>IF(A154="Overdue",K154+ROW()/10000000,"")</f>
      </c>
    </row>
    <row r="155">
      <c r="A155" s="38">
        <f>IF(C155="","",IF(B155="","Needs ID",IF(OR(C155="loan",C155="send_out"),IF(COUNTIF($L$2:$L$1001,B155)&gt;0,"Closed",IF(K155="","Open",IF(K155&lt;NOW(),"Overdue","Open"))),IF(C155="return",IF(OR(L155="",COUNTIF($B$2:$B$1001,L155)=0),"No match",IF(OR(M155="worn",M155="damaged"),"Quarantine","Returned")),IF(C155="issue","Issued",IF(C155="transfer","Moved",IF(C155="write_off","Written off",IF(C155="unfilled","Unfilled",""))))))))</f>
      </c>
      <c r="B155" s="31"/>
      <c r="C155" s="35"/>
      <c r="D155" s="33"/>
      <c r="E155" s="31"/>
      <c r="F155" s="31"/>
      <c r="G155" s="37">
        <f>IF(F155="","",IF(ISNA(MATCH(F155,'Item master'!$A$2:$A$301,0)),"Not in Item master",IFERROR(INDEX('Item master'!$B$2:$B$301,MATCH(F155,'Item master'!$A$2:$A$301,0))&amp;"","")))</f>
      </c>
      <c r="H155" s="34"/>
      <c r="I155" s="31"/>
      <c r="J155" s="31"/>
      <c r="K155" s="33"/>
      <c r="L155" s="31"/>
      <c r="M155" s="35"/>
      <c r="N155" s="30"/>
      <c r="O155" s="30"/>
      <c r="P155" s="36"/>
      <c r="Q155" s="38">
        <f>IF(OR(C155&lt;&gt;"loan",E155=""),"",IF(ISNA(MATCH(E155,Units!$A$2:$A$501,0)),"",IF(INDEX(Units!$E$2:$E$501,MATCH(E155,Units!$A$2:$A$501,0))="","",IF(K155="","No due date",IF(INT(K155)&gt;INDEX(Units!$E$2:$E$501,MATCH(E155,Units!$A$2:$A$501,0)),"Past cal date","OK")))))</f>
      </c>
      <c r="R155" s="37">
        <f>IF(A155="Overdue",K155+ROW()/10000000,"")</f>
      </c>
    </row>
    <row r="156">
      <c r="A156" s="38">
        <f>IF(C156="","",IF(B156="","Needs ID",IF(OR(C156="loan",C156="send_out"),IF(COUNTIF($L$2:$L$1001,B156)&gt;0,"Closed",IF(K156="","Open",IF(K156&lt;NOW(),"Overdue","Open"))),IF(C156="return",IF(OR(L156="",COUNTIF($B$2:$B$1001,L156)=0),"No match",IF(OR(M156="worn",M156="damaged"),"Quarantine","Returned")),IF(C156="issue","Issued",IF(C156="transfer","Moved",IF(C156="write_off","Written off",IF(C156="unfilled","Unfilled",""))))))))</f>
      </c>
      <c r="B156" s="31"/>
      <c r="C156" s="35"/>
      <c r="D156" s="33"/>
      <c r="E156" s="31"/>
      <c r="F156" s="31"/>
      <c r="G156" s="37">
        <f>IF(F156="","",IF(ISNA(MATCH(F156,'Item master'!$A$2:$A$301,0)),"Not in Item master",IFERROR(INDEX('Item master'!$B$2:$B$301,MATCH(F156,'Item master'!$A$2:$A$301,0))&amp;"","")))</f>
      </c>
      <c r="H156" s="34"/>
      <c r="I156" s="31"/>
      <c r="J156" s="31"/>
      <c r="K156" s="33"/>
      <c r="L156" s="31"/>
      <c r="M156" s="35"/>
      <c r="N156" s="30"/>
      <c r="O156" s="30"/>
      <c r="P156" s="36"/>
      <c r="Q156" s="38">
        <f>IF(OR(C156&lt;&gt;"loan",E156=""),"",IF(ISNA(MATCH(E156,Units!$A$2:$A$501,0)),"",IF(INDEX(Units!$E$2:$E$501,MATCH(E156,Units!$A$2:$A$501,0))="","",IF(K156="","No due date",IF(INT(K156)&gt;INDEX(Units!$E$2:$E$501,MATCH(E156,Units!$A$2:$A$501,0)),"Past cal date","OK")))))</f>
      </c>
      <c r="R156" s="37">
        <f>IF(A156="Overdue",K156+ROW()/10000000,"")</f>
      </c>
    </row>
    <row r="157">
      <c r="A157" s="38">
        <f>IF(C157="","",IF(B157="","Needs ID",IF(OR(C157="loan",C157="send_out"),IF(COUNTIF($L$2:$L$1001,B157)&gt;0,"Closed",IF(K157="","Open",IF(K157&lt;NOW(),"Overdue","Open"))),IF(C157="return",IF(OR(L157="",COUNTIF($B$2:$B$1001,L157)=0),"No match",IF(OR(M157="worn",M157="damaged"),"Quarantine","Returned")),IF(C157="issue","Issued",IF(C157="transfer","Moved",IF(C157="write_off","Written off",IF(C157="unfilled","Unfilled",""))))))))</f>
      </c>
      <c r="B157" s="31"/>
      <c r="C157" s="35"/>
      <c r="D157" s="33"/>
      <c r="E157" s="31"/>
      <c r="F157" s="31"/>
      <c r="G157" s="37">
        <f>IF(F157="","",IF(ISNA(MATCH(F157,'Item master'!$A$2:$A$301,0)),"Not in Item master",IFERROR(INDEX('Item master'!$B$2:$B$301,MATCH(F157,'Item master'!$A$2:$A$301,0))&amp;"","")))</f>
      </c>
      <c r="H157" s="34"/>
      <c r="I157" s="31"/>
      <c r="J157" s="31"/>
      <c r="K157" s="33"/>
      <c r="L157" s="31"/>
      <c r="M157" s="35"/>
      <c r="N157" s="30"/>
      <c r="O157" s="30"/>
      <c r="P157" s="36"/>
      <c r="Q157" s="38">
        <f>IF(OR(C157&lt;&gt;"loan",E157=""),"",IF(ISNA(MATCH(E157,Units!$A$2:$A$501,0)),"",IF(INDEX(Units!$E$2:$E$501,MATCH(E157,Units!$A$2:$A$501,0))="","",IF(K157="","No due date",IF(INT(K157)&gt;INDEX(Units!$E$2:$E$501,MATCH(E157,Units!$A$2:$A$501,0)),"Past cal date","OK")))))</f>
      </c>
      <c r="R157" s="37">
        <f>IF(A157="Overdue",K157+ROW()/10000000,"")</f>
      </c>
    </row>
    <row r="158">
      <c r="A158" s="38">
        <f>IF(C158="","",IF(B158="","Needs ID",IF(OR(C158="loan",C158="send_out"),IF(COUNTIF($L$2:$L$1001,B158)&gt;0,"Closed",IF(K158="","Open",IF(K158&lt;NOW(),"Overdue","Open"))),IF(C158="return",IF(OR(L158="",COUNTIF($B$2:$B$1001,L158)=0),"No match",IF(OR(M158="worn",M158="damaged"),"Quarantine","Returned")),IF(C158="issue","Issued",IF(C158="transfer","Moved",IF(C158="write_off","Written off",IF(C158="unfilled","Unfilled",""))))))))</f>
      </c>
      <c r="B158" s="31"/>
      <c r="C158" s="35"/>
      <c r="D158" s="33"/>
      <c r="E158" s="31"/>
      <c r="F158" s="31"/>
      <c r="G158" s="37">
        <f>IF(F158="","",IF(ISNA(MATCH(F158,'Item master'!$A$2:$A$301,0)),"Not in Item master",IFERROR(INDEX('Item master'!$B$2:$B$301,MATCH(F158,'Item master'!$A$2:$A$301,0))&amp;"","")))</f>
      </c>
      <c r="H158" s="34"/>
      <c r="I158" s="31"/>
      <c r="J158" s="31"/>
      <c r="K158" s="33"/>
      <c r="L158" s="31"/>
      <c r="M158" s="35"/>
      <c r="N158" s="30"/>
      <c r="O158" s="30"/>
      <c r="P158" s="36"/>
      <c r="Q158" s="38">
        <f>IF(OR(C158&lt;&gt;"loan",E158=""),"",IF(ISNA(MATCH(E158,Units!$A$2:$A$501,0)),"",IF(INDEX(Units!$E$2:$E$501,MATCH(E158,Units!$A$2:$A$501,0))="","",IF(K158="","No due date",IF(INT(K158)&gt;INDEX(Units!$E$2:$E$501,MATCH(E158,Units!$A$2:$A$501,0)),"Past cal date","OK")))))</f>
      </c>
      <c r="R158" s="37">
        <f>IF(A158="Overdue",K158+ROW()/10000000,"")</f>
      </c>
    </row>
    <row r="159">
      <c r="A159" s="38">
        <f>IF(C159="","",IF(B159="","Needs ID",IF(OR(C159="loan",C159="send_out"),IF(COUNTIF($L$2:$L$1001,B159)&gt;0,"Closed",IF(K159="","Open",IF(K159&lt;NOW(),"Overdue","Open"))),IF(C159="return",IF(OR(L159="",COUNTIF($B$2:$B$1001,L159)=0),"No match",IF(OR(M159="worn",M159="damaged"),"Quarantine","Returned")),IF(C159="issue","Issued",IF(C159="transfer","Moved",IF(C159="write_off","Written off",IF(C159="unfilled","Unfilled",""))))))))</f>
      </c>
      <c r="B159" s="31"/>
      <c r="C159" s="35"/>
      <c r="D159" s="33"/>
      <c r="E159" s="31"/>
      <c r="F159" s="31"/>
      <c r="G159" s="37">
        <f>IF(F159="","",IF(ISNA(MATCH(F159,'Item master'!$A$2:$A$301,0)),"Not in Item master",IFERROR(INDEX('Item master'!$B$2:$B$301,MATCH(F159,'Item master'!$A$2:$A$301,0))&amp;"","")))</f>
      </c>
      <c r="H159" s="34"/>
      <c r="I159" s="31"/>
      <c r="J159" s="31"/>
      <c r="K159" s="33"/>
      <c r="L159" s="31"/>
      <c r="M159" s="35"/>
      <c r="N159" s="30"/>
      <c r="O159" s="30"/>
      <c r="P159" s="36"/>
      <c r="Q159" s="38">
        <f>IF(OR(C159&lt;&gt;"loan",E159=""),"",IF(ISNA(MATCH(E159,Units!$A$2:$A$501,0)),"",IF(INDEX(Units!$E$2:$E$501,MATCH(E159,Units!$A$2:$A$501,0))="","",IF(K159="","No due date",IF(INT(K159)&gt;INDEX(Units!$E$2:$E$501,MATCH(E159,Units!$A$2:$A$501,0)),"Past cal date","OK")))))</f>
      </c>
      <c r="R159" s="37">
        <f>IF(A159="Overdue",K159+ROW()/10000000,"")</f>
      </c>
    </row>
    <row r="160">
      <c r="A160" s="38">
        <f>IF(C160="","",IF(B160="","Needs ID",IF(OR(C160="loan",C160="send_out"),IF(COUNTIF($L$2:$L$1001,B160)&gt;0,"Closed",IF(K160="","Open",IF(K160&lt;NOW(),"Overdue","Open"))),IF(C160="return",IF(OR(L160="",COUNTIF($B$2:$B$1001,L160)=0),"No match",IF(OR(M160="worn",M160="damaged"),"Quarantine","Returned")),IF(C160="issue","Issued",IF(C160="transfer","Moved",IF(C160="write_off","Written off",IF(C160="unfilled","Unfilled",""))))))))</f>
      </c>
      <c r="B160" s="31"/>
      <c r="C160" s="35"/>
      <c r="D160" s="33"/>
      <c r="E160" s="31"/>
      <c r="F160" s="31"/>
      <c r="G160" s="37">
        <f>IF(F160="","",IF(ISNA(MATCH(F160,'Item master'!$A$2:$A$301,0)),"Not in Item master",IFERROR(INDEX('Item master'!$B$2:$B$301,MATCH(F160,'Item master'!$A$2:$A$301,0))&amp;"","")))</f>
      </c>
      <c r="H160" s="34"/>
      <c r="I160" s="31"/>
      <c r="J160" s="31"/>
      <c r="K160" s="33"/>
      <c r="L160" s="31"/>
      <c r="M160" s="35"/>
      <c r="N160" s="30"/>
      <c r="O160" s="30"/>
      <c r="P160" s="36"/>
      <c r="Q160" s="38">
        <f>IF(OR(C160&lt;&gt;"loan",E160=""),"",IF(ISNA(MATCH(E160,Units!$A$2:$A$501,0)),"",IF(INDEX(Units!$E$2:$E$501,MATCH(E160,Units!$A$2:$A$501,0))="","",IF(K160="","No due date",IF(INT(K160)&gt;INDEX(Units!$E$2:$E$501,MATCH(E160,Units!$A$2:$A$501,0)),"Past cal date","OK")))))</f>
      </c>
      <c r="R160" s="37">
        <f>IF(A160="Overdue",K160+ROW()/10000000,"")</f>
      </c>
    </row>
    <row r="161">
      <c r="A161" s="38">
        <f>IF(C161="","",IF(B161="","Needs ID",IF(OR(C161="loan",C161="send_out"),IF(COUNTIF($L$2:$L$1001,B161)&gt;0,"Closed",IF(K161="","Open",IF(K161&lt;NOW(),"Overdue","Open"))),IF(C161="return",IF(OR(L161="",COUNTIF($B$2:$B$1001,L161)=0),"No match",IF(OR(M161="worn",M161="damaged"),"Quarantine","Returned")),IF(C161="issue","Issued",IF(C161="transfer","Moved",IF(C161="write_off","Written off",IF(C161="unfilled","Unfilled",""))))))))</f>
      </c>
      <c r="B161" s="31"/>
      <c r="C161" s="35"/>
      <c r="D161" s="33"/>
      <c r="E161" s="31"/>
      <c r="F161" s="31"/>
      <c r="G161" s="37">
        <f>IF(F161="","",IF(ISNA(MATCH(F161,'Item master'!$A$2:$A$301,0)),"Not in Item master",IFERROR(INDEX('Item master'!$B$2:$B$301,MATCH(F161,'Item master'!$A$2:$A$301,0))&amp;"","")))</f>
      </c>
      <c r="H161" s="34"/>
      <c r="I161" s="31"/>
      <c r="J161" s="31"/>
      <c r="K161" s="33"/>
      <c r="L161" s="31"/>
      <c r="M161" s="35"/>
      <c r="N161" s="30"/>
      <c r="O161" s="30"/>
      <c r="P161" s="36"/>
      <c r="Q161" s="38">
        <f>IF(OR(C161&lt;&gt;"loan",E161=""),"",IF(ISNA(MATCH(E161,Units!$A$2:$A$501,0)),"",IF(INDEX(Units!$E$2:$E$501,MATCH(E161,Units!$A$2:$A$501,0))="","",IF(K161="","No due date",IF(INT(K161)&gt;INDEX(Units!$E$2:$E$501,MATCH(E161,Units!$A$2:$A$501,0)),"Past cal date","OK")))))</f>
      </c>
      <c r="R161" s="37">
        <f>IF(A161="Overdue",K161+ROW()/10000000,"")</f>
      </c>
    </row>
    <row r="162">
      <c r="A162" s="38">
        <f>IF(C162="","",IF(B162="","Needs ID",IF(OR(C162="loan",C162="send_out"),IF(COUNTIF($L$2:$L$1001,B162)&gt;0,"Closed",IF(K162="","Open",IF(K162&lt;NOW(),"Overdue","Open"))),IF(C162="return",IF(OR(L162="",COUNTIF($B$2:$B$1001,L162)=0),"No match",IF(OR(M162="worn",M162="damaged"),"Quarantine","Returned")),IF(C162="issue","Issued",IF(C162="transfer","Moved",IF(C162="write_off","Written off",IF(C162="unfilled","Unfilled",""))))))))</f>
      </c>
      <c r="B162" s="31"/>
      <c r="C162" s="35"/>
      <c r="D162" s="33"/>
      <c r="E162" s="31"/>
      <c r="F162" s="31"/>
      <c r="G162" s="37">
        <f>IF(F162="","",IF(ISNA(MATCH(F162,'Item master'!$A$2:$A$301,0)),"Not in Item master",IFERROR(INDEX('Item master'!$B$2:$B$301,MATCH(F162,'Item master'!$A$2:$A$301,0))&amp;"","")))</f>
      </c>
      <c r="H162" s="34"/>
      <c r="I162" s="31"/>
      <c r="J162" s="31"/>
      <c r="K162" s="33"/>
      <c r="L162" s="31"/>
      <c r="M162" s="35"/>
      <c r="N162" s="30"/>
      <c r="O162" s="30"/>
      <c r="P162" s="36"/>
      <c r="Q162" s="38">
        <f>IF(OR(C162&lt;&gt;"loan",E162=""),"",IF(ISNA(MATCH(E162,Units!$A$2:$A$501,0)),"",IF(INDEX(Units!$E$2:$E$501,MATCH(E162,Units!$A$2:$A$501,0))="","",IF(K162="","No due date",IF(INT(K162)&gt;INDEX(Units!$E$2:$E$501,MATCH(E162,Units!$A$2:$A$501,0)),"Past cal date","OK")))))</f>
      </c>
      <c r="R162" s="37">
        <f>IF(A162="Overdue",K162+ROW()/10000000,"")</f>
      </c>
    </row>
    <row r="163">
      <c r="A163" s="38">
        <f>IF(C163="","",IF(B163="","Needs ID",IF(OR(C163="loan",C163="send_out"),IF(COUNTIF($L$2:$L$1001,B163)&gt;0,"Closed",IF(K163="","Open",IF(K163&lt;NOW(),"Overdue","Open"))),IF(C163="return",IF(OR(L163="",COUNTIF($B$2:$B$1001,L163)=0),"No match",IF(OR(M163="worn",M163="damaged"),"Quarantine","Returned")),IF(C163="issue","Issued",IF(C163="transfer","Moved",IF(C163="write_off","Written off",IF(C163="unfilled","Unfilled",""))))))))</f>
      </c>
      <c r="B163" s="31"/>
      <c r="C163" s="35"/>
      <c r="D163" s="33"/>
      <c r="E163" s="31"/>
      <c r="F163" s="31"/>
      <c r="G163" s="37">
        <f>IF(F163="","",IF(ISNA(MATCH(F163,'Item master'!$A$2:$A$301,0)),"Not in Item master",IFERROR(INDEX('Item master'!$B$2:$B$301,MATCH(F163,'Item master'!$A$2:$A$301,0))&amp;"","")))</f>
      </c>
      <c r="H163" s="34"/>
      <c r="I163" s="31"/>
      <c r="J163" s="31"/>
      <c r="K163" s="33"/>
      <c r="L163" s="31"/>
      <c r="M163" s="35"/>
      <c r="N163" s="30"/>
      <c r="O163" s="30"/>
      <c r="P163" s="36"/>
      <c r="Q163" s="38">
        <f>IF(OR(C163&lt;&gt;"loan",E163=""),"",IF(ISNA(MATCH(E163,Units!$A$2:$A$501,0)),"",IF(INDEX(Units!$E$2:$E$501,MATCH(E163,Units!$A$2:$A$501,0))="","",IF(K163="","No due date",IF(INT(K163)&gt;INDEX(Units!$E$2:$E$501,MATCH(E163,Units!$A$2:$A$501,0)),"Past cal date","OK")))))</f>
      </c>
      <c r="R163" s="37">
        <f>IF(A163="Overdue",K163+ROW()/10000000,"")</f>
      </c>
    </row>
    <row r="164">
      <c r="A164" s="38">
        <f>IF(C164="","",IF(B164="","Needs ID",IF(OR(C164="loan",C164="send_out"),IF(COUNTIF($L$2:$L$1001,B164)&gt;0,"Closed",IF(K164="","Open",IF(K164&lt;NOW(),"Overdue","Open"))),IF(C164="return",IF(OR(L164="",COUNTIF($B$2:$B$1001,L164)=0),"No match",IF(OR(M164="worn",M164="damaged"),"Quarantine","Returned")),IF(C164="issue","Issued",IF(C164="transfer","Moved",IF(C164="write_off","Written off",IF(C164="unfilled","Unfilled",""))))))))</f>
      </c>
      <c r="B164" s="31"/>
      <c r="C164" s="35"/>
      <c r="D164" s="33"/>
      <c r="E164" s="31"/>
      <c r="F164" s="31"/>
      <c r="G164" s="37">
        <f>IF(F164="","",IF(ISNA(MATCH(F164,'Item master'!$A$2:$A$301,0)),"Not in Item master",IFERROR(INDEX('Item master'!$B$2:$B$301,MATCH(F164,'Item master'!$A$2:$A$301,0))&amp;"","")))</f>
      </c>
      <c r="H164" s="34"/>
      <c r="I164" s="31"/>
      <c r="J164" s="31"/>
      <c r="K164" s="33"/>
      <c r="L164" s="31"/>
      <c r="M164" s="35"/>
      <c r="N164" s="30"/>
      <c r="O164" s="30"/>
      <c r="P164" s="36"/>
      <c r="Q164" s="38">
        <f>IF(OR(C164&lt;&gt;"loan",E164=""),"",IF(ISNA(MATCH(E164,Units!$A$2:$A$501,0)),"",IF(INDEX(Units!$E$2:$E$501,MATCH(E164,Units!$A$2:$A$501,0))="","",IF(K164="","No due date",IF(INT(K164)&gt;INDEX(Units!$E$2:$E$501,MATCH(E164,Units!$A$2:$A$501,0)),"Past cal date","OK")))))</f>
      </c>
      <c r="R164" s="37">
        <f>IF(A164="Overdue",K164+ROW()/10000000,"")</f>
      </c>
    </row>
    <row r="165">
      <c r="A165" s="38">
        <f>IF(C165="","",IF(B165="","Needs ID",IF(OR(C165="loan",C165="send_out"),IF(COUNTIF($L$2:$L$1001,B165)&gt;0,"Closed",IF(K165="","Open",IF(K165&lt;NOW(),"Overdue","Open"))),IF(C165="return",IF(OR(L165="",COUNTIF($B$2:$B$1001,L165)=0),"No match",IF(OR(M165="worn",M165="damaged"),"Quarantine","Returned")),IF(C165="issue","Issued",IF(C165="transfer","Moved",IF(C165="write_off","Written off",IF(C165="unfilled","Unfilled",""))))))))</f>
      </c>
      <c r="B165" s="31"/>
      <c r="C165" s="35"/>
      <c r="D165" s="33"/>
      <c r="E165" s="31"/>
      <c r="F165" s="31"/>
      <c r="G165" s="37">
        <f>IF(F165="","",IF(ISNA(MATCH(F165,'Item master'!$A$2:$A$301,0)),"Not in Item master",IFERROR(INDEX('Item master'!$B$2:$B$301,MATCH(F165,'Item master'!$A$2:$A$301,0))&amp;"","")))</f>
      </c>
      <c r="H165" s="34"/>
      <c r="I165" s="31"/>
      <c r="J165" s="31"/>
      <c r="K165" s="33"/>
      <c r="L165" s="31"/>
      <c r="M165" s="35"/>
      <c r="N165" s="30"/>
      <c r="O165" s="30"/>
      <c r="P165" s="36"/>
      <c r="Q165" s="38">
        <f>IF(OR(C165&lt;&gt;"loan",E165=""),"",IF(ISNA(MATCH(E165,Units!$A$2:$A$501,0)),"",IF(INDEX(Units!$E$2:$E$501,MATCH(E165,Units!$A$2:$A$501,0))="","",IF(K165="","No due date",IF(INT(K165)&gt;INDEX(Units!$E$2:$E$501,MATCH(E165,Units!$A$2:$A$501,0)),"Past cal date","OK")))))</f>
      </c>
      <c r="R165" s="37">
        <f>IF(A165="Overdue",K165+ROW()/10000000,"")</f>
      </c>
    </row>
    <row r="166">
      <c r="A166" s="38">
        <f>IF(C166="","",IF(B166="","Needs ID",IF(OR(C166="loan",C166="send_out"),IF(COUNTIF($L$2:$L$1001,B166)&gt;0,"Closed",IF(K166="","Open",IF(K166&lt;NOW(),"Overdue","Open"))),IF(C166="return",IF(OR(L166="",COUNTIF($B$2:$B$1001,L166)=0),"No match",IF(OR(M166="worn",M166="damaged"),"Quarantine","Returned")),IF(C166="issue","Issued",IF(C166="transfer","Moved",IF(C166="write_off","Written off",IF(C166="unfilled","Unfilled",""))))))))</f>
      </c>
      <c r="B166" s="31"/>
      <c r="C166" s="35"/>
      <c r="D166" s="33"/>
      <c r="E166" s="31"/>
      <c r="F166" s="31"/>
      <c r="G166" s="37">
        <f>IF(F166="","",IF(ISNA(MATCH(F166,'Item master'!$A$2:$A$301,0)),"Not in Item master",IFERROR(INDEX('Item master'!$B$2:$B$301,MATCH(F166,'Item master'!$A$2:$A$301,0))&amp;"","")))</f>
      </c>
      <c r="H166" s="34"/>
      <c r="I166" s="31"/>
      <c r="J166" s="31"/>
      <c r="K166" s="33"/>
      <c r="L166" s="31"/>
      <c r="M166" s="35"/>
      <c r="N166" s="30"/>
      <c r="O166" s="30"/>
      <c r="P166" s="36"/>
      <c r="Q166" s="38">
        <f>IF(OR(C166&lt;&gt;"loan",E166=""),"",IF(ISNA(MATCH(E166,Units!$A$2:$A$501,0)),"",IF(INDEX(Units!$E$2:$E$501,MATCH(E166,Units!$A$2:$A$501,0))="","",IF(K166="","No due date",IF(INT(K166)&gt;INDEX(Units!$E$2:$E$501,MATCH(E166,Units!$A$2:$A$501,0)),"Past cal date","OK")))))</f>
      </c>
      <c r="R166" s="37">
        <f>IF(A166="Overdue",K166+ROW()/10000000,"")</f>
      </c>
    </row>
    <row r="167">
      <c r="A167" s="38">
        <f>IF(C167="","",IF(B167="","Needs ID",IF(OR(C167="loan",C167="send_out"),IF(COUNTIF($L$2:$L$1001,B167)&gt;0,"Closed",IF(K167="","Open",IF(K167&lt;NOW(),"Overdue","Open"))),IF(C167="return",IF(OR(L167="",COUNTIF($B$2:$B$1001,L167)=0),"No match",IF(OR(M167="worn",M167="damaged"),"Quarantine","Returned")),IF(C167="issue","Issued",IF(C167="transfer","Moved",IF(C167="write_off","Written off",IF(C167="unfilled","Unfilled",""))))))))</f>
      </c>
      <c r="B167" s="31"/>
      <c r="C167" s="35"/>
      <c r="D167" s="33"/>
      <c r="E167" s="31"/>
      <c r="F167" s="31"/>
      <c r="G167" s="37">
        <f>IF(F167="","",IF(ISNA(MATCH(F167,'Item master'!$A$2:$A$301,0)),"Not in Item master",IFERROR(INDEX('Item master'!$B$2:$B$301,MATCH(F167,'Item master'!$A$2:$A$301,0))&amp;"","")))</f>
      </c>
      <c r="H167" s="34"/>
      <c r="I167" s="31"/>
      <c r="J167" s="31"/>
      <c r="K167" s="33"/>
      <c r="L167" s="31"/>
      <c r="M167" s="35"/>
      <c r="N167" s="30"/>
      <c r="O167" s="30"/>
      <c r="P167" s="36"/>
      <c r="Q167" s="38">
        <f>IF(OR(C167&lt;&gt;"loan",E167=""),"",IF(ISNA(MATCH(E167,Units!$A$2:$A$501,0)),"",IF(INDEX(Units!$E$2:$E$501,MATCH(E167,Units!$A$2:$A$501,0))="","",IF(K167="","No due date",IF(INT(K167)&gt;INDEX(Units!$E$2:$E$501,MATCH(E167,Units!$A$2:$A$501,0)),"Past cal date","OK")))))</f>
      </c>
      <c r="R167" s="37">
        <f>IF(A167="Overdue",K167+ROW()/10000000,"")</f>
      </c>
    </row>
    <row r="168">
      <c r="A168" s="38">
        <f>IF(C168="","",IF(B168="","Needs ID",IF(OR(C168="loan",C168="send_out"),IF(COUNTIF($L$2:$L$1001,B168)&gt;0,"Closed",IF(K168="","Open",IF(K168&lt;NOW(),"Overdue","Open"))),IF(C168="return",IF(OR(L168="",COUNTIF($B$2:$B$1001,L168)=0),"No match",IF(OR(M168="worn",M168="damaged"),"Quarantine","Returned")),IF(C168="issue","Issued",IF(C168="transfer","Moved",IF(C168="write_off","Written off",IF(C168="unfilled","Unfilled",""))))))))</f>
      </c>
      <c r="B168" s="31"/>
      <c r="C168" s="35"/>
      <c r="D168" s="33"/>
      <c r="E168" s="31"/>
      <c r="F168" s="31"/>
      <c r="G168" s="37">
        <f>IF(F168="","",IF(ISNA(MATCH(F168,'Item master'!$A$2:$A$301,0)),"Not in Item master",IFERROR(INDEX('Item master'!$B$2:$B$301,MATCH(F168,'Item master'!$A$2:$A$301,0))&amp;"","")))</f>
      </c>
      <c r="H168" s="34"/>
      <c r="I168" s="31"/>
      <c r="J168" s="31"/>
      <c r="K168" s="33"/>
      <c r="L168" s="31"/>
      <c r="M168" s="35"/>
      <c r="N168" s="30"/>
      <c r="O168" s="30"/>
      <c r="P168" s="36"/>
      <c r="Q168" s="38">
        <f>IF(OR(C168&lt;&gt;"loan",E168=""),"",IF(ISNA(MATCH(E168,Units!$A$2:$A$501,0)),"",IF(INDEX(Units!$E$2:$E$501,MATCH(E168,Units!$A$2:$A$501,0))="","",IF(K168="","No due date",IF(INT(K168)&gt;INDEX(Units!$E$2:$E$501,MATCH(E168,Units!$A$2:$A$501,0)),"Past cal date","OK")))))</f>
      </c>
      <c r="R168" s="37">
        <f>IF(A168="Overdue",K168+ROW()/10000000,"")</f>
      </c>
    </row>
    <row r="169">
      <c r="A169" s="38">
        <f>IF(C169="","",IF(B169="","Needs ID",IF(OR(C169="loan",C169="send_out"),IF(COUNTIF($L$2:$L$1001,B169)&gt;0,"Closed",IF(K169="","Open",IF(K169&lt;NOW(),"Overdue","Open"))),IF(C169="return",IF(OR(L169="",COUNTIF($B$2:$B$1001,L169)=0),"No match",IF(OR(M169="worn",M169="damaged"),"Quarantine","Returned")),IF(C169="issue","Issued",IF(C169="transfer","Moved",IF(C169="write_off","Written off",IF(C169="unfilled","Unfilled",""))))))))</f>
      </c>
      <c r="B169" s="31"/>
      <c r="C169" s="35"/>
      <c r="D169" s="33"/>
      <c r="E169" s="31"/>
      <c r="F169" s="31"/>
      <c r="G169" s="37">
        <f>IF(F169="","",IF(ISNA(MATCH(F169,'Item master'!$A$2:$A$301,0)),"Not in Item master",IFERROR(INDEX('Item master'!$B$2:$B$301,MATCH(F169,'Item master'!$A$2:$A$301,0))&amp;"","")))</f>
      </c>
      <c r="H169" s="34"/>
      <c r="I169" s="31"/>
      <c r="J169" s="31"/>
      <c r="K169" s="33"/>
      <c r="L169" s="31"/>
      <c r="M169" s="35"/>
      <c r="N169" s="30"/>
      <c r="O169" s="30"/>
      <c r="P169" s="36"/>
      <c r="Q169" s="38">
        <f>IF(OR(C169&lt;&gt;"loan",E169=""),"",IF(ISNA(MATCH(E169,Units!$A$2:$A$501,0)),"",IF(INDEX(Units!$E$2:$E$501,MATCH(E169,Units!$A$2:$A$501,0))="","",IF(K169="","No due date",IF(INT(K169)&gt;INDEX(Units!$E$2:$E$501,MATCH(E169,Units!$A$2:$A$501,0)),"Past cal date","OK")))))</f>
      </c>
      <c r="R169" s="37">
        <f>IF(A169="Overdue",K169+ROW()/10000000,"")</f>
      </c>
    </row>
    <row r="170">
      <c r="A170" s="38">
        <f>IF(C170="","",IF(B170="","Needs ID",IF(OR(C170="loan",C170="send_out"),IF(COUNTIF($L$2:$L$1001,B170)&gt;0,"Closed",IF(K170="","Open",IF(K170&lt;NOW(),"Overdue","Open"))),IF(C170="return",IF(OR(L170="",COUNTIF($B$2:$B$1001,L170)=0),"No match",IF(OR(M170="worn",M170="damaged"),"Quarantine","Returned")),IF(C170="issue","Issued",IF(C170="transfer","Moved",IF(C170="write_off","Written off",IF(C170="unfilled","Unfilled",""))))))))</f>
      </c>
      <c r="B170" s="31"/>
      <c r="C170" s="35"/>
      <c r="D170" s="33"/>
      <c r="E170" s="31"/>
      <c r="F170" s="31"/>
      <c r="G170" s="37">
        <f>IF(F170="","",IF(ISNA(MATCH(F170,'Item master'!$A$2:$A$301,0)),"Not in Item master",IFERROR(INDEX('Item master'!$B$2:$B$301,MATCH(F170,'Item master'!$A$2:$A$301,0))&amp;"","")))</f>
      </c>
      <c r="H170" s="34"/>
      <c r="I170" s="31"/>
      <c r="J170" s="31"/>
      <c r="K170" s="33"/>
      <c r="L170" s="31"/>
      <c r="M170" s="35"/>
      <c r="N170" s="30"/>
      <c r="O170" s="30"/>
      <c r="P170" s="36"/>
      <c r="Q170" s="38">
        <f>IF(OR(C170&lt;&gt;"loan",E170=""),"",IF(ISNA(MATCH(E170,Units!$A$2:$A$501,0)),"",IF(INDEX(Units!$E$2:$E$501,MATCH(E170,Units!$A$2:$A$501,0))="","",IF(K170="","No due date",IF(INT(K170)&gt;INDEX(Units!$E$2:$E$501,MATCH(E170,Units!$A$2:$A$501,0)),"Past cal date","OK")))))</f>
      </c>
      <c r="R170" s="37">
        <f>IF(A170="Overdue",K170+ROW()/10000000,"")</f>
      </c>
    </row>
    <row r="171">
      <c r="A171" s="38">
        <f>IF(C171="","",IF(B171="","Needs ID",IF(OR(C171="loan",C171="send_out"),IF(COUNTIF($L$2:$L$1001,B171)&gt;0,"Closed",IF(K171="","Open",IF(K171&lt;NOW(),"Overdue","Open"))),IF(C171="return",IF(OR(L171="",COUNTIF($B$2:$B$1001,L171)=0),"No match",IF(OR(M171="worn",M171="damaged"),"Quarantine","Returned")),IF(C171="issue","Issued",IF(C171="transfer","Moved",IF(C171="write_off","Written off",IF(C171="unfilled","Unfilled",""))))))))</f>
      </c>
      <c r="B171" s="31"/>
      <c r="C171" s="35"/>
      <c r="D171" s="33"/>
      <c r="E171" s="31"/>
      <c r="F171" s="31"/>
      <c r="G171" s="37">
        <f>IF(F171="","",IF(ISNA(MATCH(F171,'Item master'!$A$2:$A$301,0)),"Not in Item master",IFERROR(INDEX('Item master'!$B$2:$B$301,MATCH(F171,'Item master'!$A$2:$A$301,0))&amp;"","")))</f>
      </c>
      <c r="H171" s="34"/>
      <c r="I171" s="31"/>
      <c r="J171" s="31"/>
      <c r="K171" s="33"/>
      <c r="L171" s="31"/>
      <c r="M171" s="35"/>
      <c r="N171" s="30"/>
      <c r="O171" s="30"/>
      <c r="P171" s="36"/>
      <c r="Q171" s="38">
        <f>IF(OR(C171&lt;&gt;"loan",E171=""),"",IF(ISNA(MATCH(E171,Units!$A$2:$A$501,0)),"",IF(INDEX(Units!$E$2:$E$501,MATCH(E171,Units!$A$2:$A$501,0))="","",IF(K171="","No due date",IF(INT(K171)&gt;INDEX(Units!$E$2:$E$501,MATCH(E171,Units!$A$2:$A$501,0)),"Past cal date","OK")))))</f>
      </c>
      <c r="R171" s="37">
        <f>IF(A171="Overdue",K171+ROW()/10000000,"")</f>
      </c>
    </row>
    <row r="172">
      <c r="A172" s="38">
        <f>IF(C172="","",IF(B172="","Needs ID",IF(OR(C172="loan",C172="send_out"),IF(COUNTIF($L$2:$L$1001,B172)&gt;0,"Closed",IF(K172="","Open",IF(K172&lt;NOW(),"Overdue","Open"))),IF(C172="return",IF(OR(L172="",COUNTIF($B$2:$B$1001,L172)=0),"No match",IF(OR(M172="worn",M172="damaged"),"Quarantine","Returned")),IF(C172="issue","Issued",IF(C172="transfer","Moved",IF(C172="write_off","Written off",IF(C172="unfilled","Unfilled",""))))))))</f>
      </c>
      <c r="B172" s="31"/>
      <c r="C172" s="35"/>
      <c r="D172" s="33"/>
      <c r="E172" s="31"/>
      <c r="F172" s="31"/>
      <c r="G172" s="37">
        <f>IF(F172="","",IF(ISNA(MATCH(F172,'Item master'!$A$2:$A$301,0)),"Not in Item master",IFERROR(INDEX('Item master'!$B$2:$B$301,MATCH(F172,'Item master'!$A$2:$A$301,0))&amp;"","")))</f>
      </c>
      <c r="H172" s="34"/>
      <c r="I172" s="31"/>
      <c r="J172" s="31"/>
      <c r="K172" s="33"/>
      <c r="L172" s="31"/>
      <c r="M172" s="35"/>
      <c r="N172" s="30"/>
      <c r="O172" s="30"/>
      <c r="P172" s="36"/>
      <c r="Q172" s="38">
        <f>IF(OR(C172&lt;&gt;"loan",E172=""),"",IF(ISNA(MATCH(E172,Units!$A$2:$A$501,0)),"",IF(INDEX(Units!$E$2:$E$501,MATCH(E172,Units!$A$2:$A$501,0))="","",IF(K172="","No due date",IF(INT(K172)&gt;INDEX(Units!$E$2:$E$501,MATCH(E172,Units!$A$2:$A$501,0)),"Past cal date","OK")))))</f>
      </c>
      <c r="R172" s="37">
        <f>IF(A172="Overdue",K172+ROW()/10000000,"")</f>
      </c>
    </row>
    <row r="173">
      <c r="A173" s="38">
        <f>IF(C173="","",IF(B173="","Needs ID",IF(OR(C173="loan",C173="send_out"),IF(COUNTIF($L$2:$L$1001,B173)&gt;0,"Closed",IF(K173="","Open",IF(K173&lt;NOW(),"Overdue","Open"))),IF(C173="return",IF(OR(L173="",COUNTIF($B$2:$B$1001,L173)=0),"No match",IF(OR(M173="worn",M173="damaged"),"Quarantine","Returned")),IF(C173="issue","Issued",IF(C173="transfer","Moved",IF(C173="write_off","Written off",IF(C173="unfilled","Unfilled",""))))))))</f>
      </c>
      <c r="B173" s="31"/>
      <c r="C173" s="35"/>
      <c r="D173" s="33"/>
      <c r="E173" s="31"/>
      <c r="F173" s="31"/>
      <c r="G173" s="37">
        <f>IF(F173="","",IF(ISNA(MATCH(F173,'Item master'!$A$2:$A$301,0)),"Not in Item master",IFERROR(INDEX('Item master'!$B$2:$B$301,MATCH(F173,'Item master'!$A$2:$A$301,0))&amp;"","")))</f>
      </c>
      <c r="H173" s="34"/>
      <c r="I173" s="31"/>
      <c r="J173" s="31"/>
      <c r="K173" s="33"/>
      <c r="L173" s="31"/>
      <c r="M173" s="35"/>
      <c r="N173" s="30"/>
      <c r="O173" s="30"/>
      <c r="P173" s="36"/>
      <c r="Q173" s="38">
        <f>IF(OR(C173&lt;&gt;"loan",E173=""),"",IF(ISNA(MATCH(E173,Units!$A$2:$A$501,0)),"",IF(INDEX(Units!$E$2:$E$501,MATCH(E173,Units!$A$2:$A$501,0))="","",IF(K173="","No due date",IF(INT(K173)&gt;INDEX(Units!$E$2:$E$501,MATCH(E173,Units!$A$2:$A$501,0)),"Past cal date","OK")))))</f>
      </c>
      <c r="R173" s="37">
        <f>IF(A173="Overdue",K173+ROW()/10000000,"")</f>
      </c>
    </row>
    <row r="174">
      <c r="A174" s="38">
        <f>IF(C174="","",IF(B174="","Needs ID",IF(OR(C174="loan",C174="send_out"),IF(COUNTIF($L$2:$L$1001,B174)&gt;0,"Closed",IF(K174="","Open",IF(K174&lt;NOW(),"Overdue","Open"))),IF(C174="return",IF(OR(L174="",COUNTIF($B$2:$B$1001,L174)=0),"No match",IF(OR(M174="worn",M174="damaged"),"Quarantine","Returned")),IF(C174="issue","Issued",IF(C174="transfer","Moved",IF(C174="write_off","Written off",IF(C174="unfilled","Unfilled",""))))))))</f>
      </c>
      <c r="B174" s="31"/>
      <c r="C174" s="35"/>
      <c r="D174" s="33"/>
      <c r="E174" s="31"/>
      <c r="F174" s="31"/>
      <c r="G174" s="37">
        <f>IF(F174="","",IF(ISNA(MATCH(F174,'Item master'!$A$2:$A$301,0)),"Not in Item master",IFERROR(INDEX('Item master'!$B$2:$B$301,MATCH(F174,'Item master'!$A$2:$A$301,0))&amp;"","")))</f>
      </c>
      <c r="H174" s="34"/>
      <c r="I174" s="31"/>
      <c r="J174" s="31"/>
      <c r="K174" s="33"/>
      <c r="L174" s="31"/>
      <c r="M174" s="35"/>
      <c r="N174" s="30"/>
      <c r="O174" s="30"/>
      <c r="P174" s="36"/>
      <c r="Q174" s="38">
        <f>IF(OR(C174&lt;&gt;"loan",E174=""),"",IF(ISNA(MATCH(E174,Units!$A$2:$A$501,0)),"",IF(INDEX(Units!$E$2:$E$501,MATCH(E174,Units!$A$2:$A$501,0))="","",IF(K174="","No due date",IF(INT(K174)&gt;INDEX(Units!$E$2:$E$501,MATCH(E174,Units!$A$2:$A$501,0)),"Past cal date","OK")))))</f>
      </c>
      <c r="R174" s="37">
        <f>IF(A174="Overdue",K174+ROW()/10000000,"")</f>
      </c>
    </row>
    <row r="175">
      <c r="A175" s="38">
        <f>IF(C175="","",IF(B175="","Needs ID",IF(OR(C175="loan",C175="send_out"),IF(COUNTIF($L$2:$L$1001,B175)&gt;0,"Closed",IF(K175="","Open",IF(K175&lt;NOW(),"Overdue","Open"))),IF(C175="return",IF(OR(L175="",COUNTIF($B$2:$B$1001,L175)=0),"No match",IF(OR(M175="worn",M175="damaged"),"Quarantine","Returned")),IF(C175="issue","Issued",IF(C175="transfer","Moved",IF(C175="write_off","Written off",IF(C175="unfilled","Unfilled",""))))))))</f>
      </c>
      <c r="B175" s="31"/>
      <c r="C175" s="35"/>
      <c r="D175" s="33"/>
      <c r="E175" s="31"/>
      <c r="F175" s="31"/>
      <c r="G175" s="37">
        <f>IF(F175="","",IF(ISNA(MATCH(F175,'Item master'!$A$2:$A$301,0)),"Not in Item master",IFERROR(INDEX('Item master'!$B$2:$B$301,MATCH(F175,'Item master'!$A$2:$A$301,0))&amp;"","")))</f>
      </c>
      <c r="H175" s="34"/>
      <c r="I175" s="31"/>
      <c r="J175" s="31"/>
      <c r="K175" s="33"/>
      <c r="L175" s="31"/>
      <c r="M175" s="35"/>
      <c r="N175" s="30"/>
      <c r="O175" s="30"/>
      <c r="P175" s="36"/>
      <c r="Q175" s="38">
        <f>IF(OR(C175&lt;&gt;"loan",E175=""),"",IF(ISNA(MATCH(E175,Units!$A$2:$A$501,0)),"",IF(INDEX(Units!$E$2:$E$501,MATCH(E175,Units!$A$2:$A$501,0))="","",IF(K175="","No due date",IF(INT(K175)&gt;INDEX(Units!$E$2:$E$501,MATCH(E175,Units!$A$2:$A$501,0)),"Past cal date","OK")))))</f>
      </c>
      <c r="R175" s="37">
        <f>IF(A175="Overdue",K175+ROW()/10000000,"")</f>
      </c>
    </row>
    <row r="176">
      <c r="A176" s="38">
        <f>IF(C176="","",IF(B176="","Needs ID",IF(OR(C176="loan",C176="send_out"),IF(COUNTIF($L$2:$L$1001,B176)&gt;0,"Closed",IF(K176="","Open",IF(K176&lt;NOW(),"Overdue","Open"))),IF(C176="return",IF(OR(L176="",COUNTIF($B$2:$B$1001,L176)=0),"No match",IF(OR(M176="worn",M176="damaged"),"Quarantine","Returned")),IF(C176="issue","Issued",IF(C176="transfer","Moved",IF(C176="write_off","Written off",IF(C176="unfilled","Unfilled",""))))))))</f>
      </c>
      <c r="B176" s="31"/>
      <c r="C176" s="35"/>
      <c r="D176" s="33"/>
      <c r="E176" s="31"/>
      <c r="F176" s="31"/>
      <c r="G176" s="37">
        <f>IF(F176="","",IF(ISNA(MATCH(F176,'Item master'!$A$2:$A$301,0)),"Not in Item master",IFERROR(INDEX('Item master'!$B$2:$B$301,MATCH(F176,'Item master'!$A$2:$A$301,0))&amp;"","")))</f>
      </c>
      <c r="H176" s="34"/>
      <c r="I176" s="31"/>
      <c r="J176" s="31"/>
      <c r="K176" s="33"/>
      <c r="L176" s="31"/>
      <c r="M176" s="35"/>
      <c r="N176" s="30"/>
      <c r="O176" s="30"/>
      <c r="P176" s="36"/>
      <c r="Q176" s="38">
        <f>IF(OR(C176&lt;&gt;"loan",E176=""),"",IF(ISNA(MATCH(E176,Units!$A$2:$A$501,0)),"",IF(INDEX(Units!$E$2:$E$501,MATCH(E176,Units!$A$2:$A$501,0))="","",IF(K176="","No due date",IF(INT(K176)&gt;INDEX(Units!$E$2:$E$501,MATCH(E176,Units!$A$2:$A$501,0)),"Past cal date","OK")))))</f>
      </c>
      <c r="R176" s="37">
        <f>IF(A176="Overdue",K176+ROW()/10000000,"")</f>
      </c>
    </row>
    <row r="177">
      <c r="A177" s="38">
        <f>IF(C177="","",IF(B177="","Needs ID",IF(OR(C177="loan",C177="send_out"),IF(COUNTIF($L$2:$L$1001,B177)&gt;0,"Closed",IF(K177="","Open",IF(K177&lt;NOW(),"Overdue","Open"))),IF(C177="return",IF(OR(L177="",COUNTIF($B$2:$B$1001,L177)=0),"No match",IF(OR(M177="worn",M177="damaged"),"Quarantine","Returned")),IF(C177="issue","Issued",IF(C177="transfer","Moved",IF(C177="write_off","Written off",IF(C177="unfilled","Unfilled",""))))))))</f>
      </c>
      <c r="B177" s="31"/>
      <c r="C177" s="35"/>
      <c r="D177" s="33"/>
      <c r="E177" s="31"/>
      <c r="F177" s="31"/>
      <c r="G177" s="37">
        <f>IF(F177="","",IF(ISNA(MATCH(F177,'Item master'!$A$2:$A$301,0)),"Not in Item master",IFERROR(INDEX('Item master'!$B$2:$B$301,MATCH(F177,'Item master'!$A$2:$A$301,0))&amp;"","")))</f>
      </c>
      <c r="H177" s="34"/>
      <c r="I177" s="31"/>
      <c r="J177" s="31"/>
      <c r="K177" s="33"/>
      <c r="L177" s="31"/>
      <c r="M177" s="35"/>
      <c r="N177" s="30"/>
      <c r="O177" s="30"/>
      <c r="P177" s="36"/>
      <c r="Q177" s="38">
        <f>IF(OR(C177&lt;&gt;"loan",E177=""),"",IF(ISNA(MATCH(E177,Units!$A$2:$A$501,0)),"",IF(INDEX(Units!$E$2:$E$501,MATCH(E177,Units!$A$2:$A$501,0))="","",IF(K177="","No due date",IF(INT(K177)&gt;INDEX(Units!$E$2:$E$501,MATCH(E177,Units!$A$2:$A$501,0)),"Past cal date","OK")))))</f>
      </c>
      <c r="R177" s="37">
        <f>IF(A177="Overdue",K177+ROW()/10000000,"")</f>
      </c>
    </row>
    <row r="178">
      <c r="A178" s="38">
        <f>IF(C178="","",IF(B178="","Needs ID",IF(OR(C178="loan",C178="send_out"),IF(COUNTIF($L$2:$L$1001,B178)&gt;0,"Closed",IF(K178="","Open",IF(K178&lt;NOW(),"Overdue","Open"))),IF(C178="return",IF(OR(L178="",COUNTIF($B$2:$B$1001,L178)=0),"No match",IF(OR(M178="worn",M178="damaged"),"Quarantine","Returned")),IF(C178="issue","Issued",IF(C178="transfer","Moved",IF(C178="write_off","Written off",IF(C178="unfilled","Unfilled",""))))))))</f>
      </c>
      <c r="B178" s="31"/>
      <c r="C178" s="35"/>
      <c r="D178" s="33"/>
      <c r="E178" s="31"/>
      <c r="F178" s="31"/>
      <c r="G178" s="37">
        <f>IF(F178="","",IF(ISNA(MATCH(F178,'Item master'!$A$2:$A$301,0)),"Not in Item master",IFERROR(INDEX('Item master'!$B$2:$B$301,MATCH(F178,'Item master'!$A$2:$A$301,0))&amp;"","")))</f>
      </c>
      <c r="H178" s="34"/>
      <c r="I178" s="31"/>
      <c r="J178" s="31"/>
      <c r="K178" s="33"/>
      <c r="L178" s="31"/>
      <c r="M178" s="35"/>
      <c r="N178" s="30"/>
      <c r="O178" s="30"/>
      <c r="P178" s="36"/>
      <c r="Q178" s="38">
        <f>IF(OR(C178&lt;&gt;"loan",E178=""),"",IF(ISNA(MATCH(E178,Units!$A$2:$A$501,0)),"",IF(INDEX(Units!$E$2:$E$501,MATCH(E178,Units!$A$2:$A$501,0))="","",IF(K178="","No due date",IF(INT(K178)&gt;INDEX(Units!$E$2:$E$501,MATCH(E178,Units!$A$2:$A$501,0)),"Past cal date","OK")))))</f>
      </c>
      <c r="R178" s="37">
        <f>IF(A178="Overdue",K178+ROW()/10000000,"")</f>
      </c>
    </row>
    <row r="179">
      <c r="A179" s="38">
        <f>IF(C179="","",IF(B179="","Needs ID",IF(OR(C179="loan",C179="send_out"),IF(COUNTIF($L$2:$L$1001,B179)&gt;0,"Closed",IF(K179="","Open",IF(K179&lt;NOW(),"Overdue","Open"))),IF(C179="return",IF(OR(L179="",COUNTIF($B$2:$B$1001,L179)=0),"No match",IF(OR(M179="worn",M179="damaged"),"Quarantine","Returned")),IF(C179="issue","Issued",IF(C179="transfer","Moved",IF(C179="write_off","Written off",IF(C179="unfilled","Unfilled",""))))))))</f>
      </c>
      <c r="B179" s="31"/>
      <c r="C179" s="35"/>
      <c r="D179" s="33"/>
      <c r="E179" s="31"/>
      <c r="F179" s="31"/>
      <c r="G179" s="37">
        <f>IF(F179="","",IF(ISNA(MATCH(F179,'Item master'!$A$2:$A$301,0)),"Not in Item master",IFERROR(INDEX('Item master'!$B$2:$B$301,MATCH(F179,'Item master'!$A$2:$A$301,0))&amp;"","")))</f>
      </c>
      <c r="H179" s="34"/>
      <c r="I179" s="31"/>
      <c r="J179" s="31"/>
      <c r="K179" s="33"/>
      <c r="L179" s="31"/>
      <c r="M179" s="35"/>
      <c r="N179" s="30"/>
      <c r="O179" s="30"/>
      <c r="P179" s="36"/>
      <c r="Q179" s="38">
        <f>IF(OR(C179&lt;&gt;"loan",E179=""),"",IF(ISNA(MATCH(E179,Units!$A$2:$A$501,0)),"",IF(INDEX(Units!$E$2:$E$501,MATCH(E179,Units!$A$2:$A$501,0))="","",IF(K179="","No due date",IF(INT(K179)&gt;INDEX(Units!$E$2:$E$501,MATCH(E179,Units!$A$2:$A$501,0)),"Past cal date","OK")))))</f>
      </c>
      <c r="R179" s="37">
        <f>IF(A179="Overdue",K179+ROW()/10000000,"")</f>
      </c>
    </row>
    <row r="180">
      <c r="A180" s="38">
        <f>IF(C180="","",IF(B180="","Needs ID",IF(OR(C180="loan",C180="send_out"),IF(COUNTIF($L$2:$L$1001,B180)&gt;0,"Closed",IF(K180="","Open",IF(K180&lt;NOW(),"Overdue","Open"))),IF(C180="return",IF(OR(L180="",COUNTIF($B$2:$B$1001,L180)=0),"No match",IF(OR(M180="worn",M180="damaged"),"Quarantine","Returned")),IF(C180="issue","Issued",IF(C180="transfer","Moved",IF(C180="write_off","Written off",IF(C180="unfilled","Unfilled",""))))))))</f>
      </c>
      <c r="B180" s="31"/>
      <c r="C180" s="35"/>
      <c r="D180" s="33"/>
      <c r="E180" s="31"/>
      <c r="F180" s="31"/>
      <c r="G180" s="37">
        <f>IF(F180="","",IF(ISNA(MATCH(F180,'Item master'!$A$2:$A$301,0)),"Not in Item master",IFERROR(INDEX('Item master'!$B$2:$B$301,MATCH(F180,'Item master'!$A$2:$A$301,0))&amp;"","")))</f>
      </c>
      <c r="H180" s="34"/>
      <c r="I180" s="31"/>
      <c r="J180" s="31"/>
      <c r="K180" s="33"/>
      <c r="L180" s="31"/>
      <c r="M180" s="35"/>
      <c r="N180" s="30"/>
      <c r="O180" s="30"/>
      <c r="P180" s="36"/>
      <c r="Q180" s="38">
        <f>IF(OR(C180&lt;&gt;"loan",E180=""),"",IF(ISNA(MATCH(E180,Units!$A$2:$A$501,0)),"",IF(INDEX(Units!$E$2:$E$501,MATCH(E180,Units!$A$2:$A$501,0))="","",IF(K180="","No due date",IF(INT(K180)&gt;INDEX(Units!$E$2:$E$501,MATCH(E180,Units!$A$2:$A$501,0)),"Past cal date","OK")))))</f>
      </c>
      <c r="R180" s="37">
        <f>IF(A180="Overdue",K180+ROW()/10000000,"")</f>
      </c>
    </row>
    <row r="181">
      <c r="A181" s="38">
        <f>IF(C181="","",IF(B181="","Needs ID",IF(OR(C181="loan",C181="send_out"),IF(COUNTIF($L$2:$L$1001,B181)&gt;0,"Closed",IF(K181="","Open",IF(K181&lt;NOW(),"Overdue","Open"))),IF(C181="return",IF(OR(L181="",COUNTIF($B$2:$B$1001,L181)=0),"No match",IF(OR(M181="worn",M181="damaged"),"Quarantine","Returned")),IF(C181="issue","Issued",IF(C181="transfer","Moved",IF(C181="write_off","Written off",IF(C181="unfilled","Unfilled",""))))))))</f>
      </c>
      <c r="B181" s="31"/>
      <c r="C181" s="35"/>
      <c r="D181" s="33"/>
      <c r="E181" s="31"/>
      <c r="F181" s="31"/>
      <c r="G181" s="37">
        <f>IF(F181="","",IF(ISNA(MATCH(F181,'Item master'!$A$2:$A$301,0)),"Not in Item master",IFERROR(INDEX('Item master'!$B$2:$B$301,MATCH(F181,'Item master'!$A$2:$A$301,0))&amp;"","")))</f>
      </c>
      <c r="H181" s="34"/>
      <c r="I181" s="31"/>
      <c r="J181" s="31"/>
      <c r="K181" s="33"/>
      <c r="L181" s="31"/>
      <c r="M181" s="35"/>
      <c r="N181" s="30"/>
      <c r="O181" s="30"/>
      <c r="P181" s="36"/>
      <c r="Q181" s="38">
        <f>IF(OR(C181&lt;&gt;"loan",E181=""),"",IF(ISNA(MATCH(E181,Units!$A$2:$A$501,0)),"",IF(INDEX(Units!$E$2:$E$501,MATCH(E181,Units!$A$2:$A$501,0))="","",IF(K181="","No due date",IF(INT(K181)&gt;INDEX(Units!$E$2:$E$501,MATCH(E181,Units!$A$2:$A$501,0)),"Past cal date","OK")))))</f>
      </c>
      <c r="R181" s="37">
        <f>IF(A181="Overdue",K181+ROW()/10000000,"")</f>
      </c>
    </row>
    <row r="182">
      <c r="A182" s="38">
        <f>IF(C182="","",IF(B182="","Needs ID",IF(OR(C182="loan",C182="send_out"),IF(COUNTIF($L$2:$L$1001,B182)&gt;0,"Closed",IF(K182="","Open",IF(K182&lt;NOW(),"Overdue","Open"))),IF(C182="return",IF(OR(L182="",COUNTIF($B$2:$B$1001,L182)=0),"No match",IF(OR(M182="worn",M182="damaged"),"Quarantine","Returned")),IF(C182="issue","Issued",IF(C182="transfer","Moved",IF(C182="write_off","Written off",IF(C182="unfilled","Unfilled",""))))))))</f>
      </c>
      <c r="B182" s="31"/>
      <c r="C182" s="35"/>
      <c r="D182" s="33"/>
      <c r="E182" s="31"/>
      <c r="F182" s="31"/>
      <c r="G182" s="37">
        <f>IF(F182="","",IF(ISNA(MATCH(F182,'Item master'!$A$2:$A$301,0)),"Not in Item master",IFERROR(INDEX('Item master'!$B$2:$B$301,MATCH(F182,'Item master'!$A$2:$A$301,0))&amp;"","")))</f>
      </c>
      <c r="H182" s="34"/>
      <c r="I182" s="31"/>
      <c r="J182" s="31"/>
      <c r="K182" s="33"/>
      <c r="L182" s="31"/>
      <c r="M182" s="35"/>
      <c r="N182" s="30"/>
      <c r="O182" s="30"/>
      <c r="P182" s="36"/>
      <c r="Q182" s="38">
        <f>IF(OR(C182&lt;&gt;"loan",E182=""),"",IF(ISNA(MATCH(E182,Units!$A$2:$A$501,0)),"",IF(INDEX(Units!$E$2:$E$501,MATCH(E182,Units!$A$2:$A$501,0))="","",IF(K182="","No due date",IF(INT(K182)&gt;INDEX(Units!$E$2:$E$501,MATCH(E182,Units!$A$2:$A$501,0)),"Past cal date","OK")))))</f>
      </c>
      <c r="R182" s="37">
        <f>IF(A182="Overdue",K182+ROW()/10000000,"")</f>
      </c>
    </row>
    <row r="183">
      <c r="A183" s="38">
        <f>IF(C183="","",IF(B183="","Needs ID",IF(OR(C183="loan",C183="send_out"),IF(COUNTIF($L$2:$L$1001,B183)&gt;0,"Closed",IF(K183="","Open",IF(K183&lt;NOW(),"Overdue","Open"))),IF(C183="return",IF(OR(L183="",COUNTIF($B$2:$B$1001,L183)=0),"No match",IF(OR(M183="worn",M183="damaged"),"Quarantine","Returned")),IF(C183="issue","Issued",IF(C183="transfer","Moved",IF(C183="write_off","Written off",IF(C183="unfilled","Unfilled",""))))))))</f>
      </c>
      <c r="B183" s="31"/>
      <c r="C183" s="35"/>
      <c r="D183" s="33"/>
      <c r="E183" s="31"/>
      <c r="F183" s="31"/>
      <c r="G183" s="37">
        <f>IF(F183="","",IF(ISNA(MATCH(F183,'Item master'!$A$2:$A$301,0)),"Not in Item master",IFERROR(INDEX('Item master'!$B$2:$B$301,MATCH(F183,'Item master'!$A$2:$A$301,0))&amp;"","")))</f>
      </c>
      <c r="H183" s="34"/>
      <c r="I183" s="31"/>
      <c r="J183" s="31"/>
      <c r="K183" s="33"/>
      <c r="L183" s="31"/>
      <c r="M183" s="35"/>
      <c r="N183" s="30"/>
      <c r="O183" s="30"/>
      <c r="P183" s="36"/>
      <c r="Q183" s="38">
        <f>IF(OR(C183&lt;&gt;"loan",E183=""),"",IF(ISNA(MATCH(E183,Units!$A$2:$A$501,0)),"",IF(INDEX(Units!$E$2:$E$501,MATCH(E183,Units!$A$2:$A$501,0))="","",IF(K183="","No due date",IF(INT(K183)&gt;INDEX(Units!$E$2:$E$501,MATCH(E183,Units!$A$2:$A$501,0)),"Past cal date","OK")))))</f>
      </c>
      <c r="R183" s="37">
        <f>IF(A183="Overdue",K183+ROW()/10000000,"")</f>
      </c>
    </row>
    <row r="184">
      <c r="A184" s="38">
        <f>IF(C184="","",IF(B184="","Needs ID",IF(OR(C184="loan",C184="send_out"),IF(COUNTIF($L$2:$L$1001,B184)&gt;0,"Closed",IF(K184="","Open",IF(K184&lt;NOW(),"Overdue","Open"))),IF(C184="return",IF(OR(L184="",COUNTIF($B$2:$B$1001,L184)=0),"No match",IF(OR(M184="worn",M184="damaged"),"Quarantine","Returned")),IF(C184="issue","Issued",IF(C184="transfer","Moved",IF(C184="write_off","Written off",IF(C184="unfilled","Unfilled",""))))))))</f>
      </c>
      <c r="B184" s="31"/>
      <c r="C184" s="35"/>
      <c r="D184" s="33"/>
      <c r="E184" s="31"/>
      <c r="F184" s="31"/>
      <c r="G184" s="37">
        <f>IF(F184="","",IF(ISNA(MATCH(F184,'Item master'!$A$2:$A$301,0)),"Not in Item master",IFERROR(INDEX('Item master'!$B$2:$B$301,MATCH(F184,'Item master'!$A$2:$A$301,0))&amp;"","")))</f>
      </c>
      <c r="H184" s="34"/>
      <c r="I184" s="31"/>
      <c r="J184" s="31"/>
      <c r="K184" s="33"/>
      <c r="L184" s="31"/>
      <c r="M184" s="35"/>
      <c r="N184" s="30"/>
      <c r="O184" s="30"/>
      <c r="P184" s="36"/>
      <c r="Q184" s="38">
        <f>IF(OR(C184&lt;&gt;"loan",E184=""),"",IF(ISNA(MATCH(E184,Units!$A$2:$A$501,0)),"",IF(INDEX(Units!$E$2:$E$501,MATCH(E184,Units!$A$2:$A$501,0))="","",IF(K184="","No due date",IF(INT(K184)&gt;INDEX(Units!$E$2:$E$501,MATCH(E184,Units!$A$2:$A$501,0)),"Past cal date","OK")))))</f>
      </c>
      <c r="R184" s="37">
        <f>IF(A184="Overdue",K184+ROW()/10000000,"")</f>
      </c>
    </row>
    <row r="185">
      <c r="A185" s="38">
        <f>IF(C185="","",IF(B185="","Needs ID",IF(OR(C185="loan",C185="send_out"),IF(COUNTIF($L$2:$L$1001,B185)&gt;0,"Closed",IF(K185="","Open",IF(K185&lt;NOW(),"Overdue","Open"))),IF(C185="return",IF(OR(L185="",COUNTIF($B$2:$B$1001,L185)=0),"No match",IF(OR(M185="worn",M185="damaged"),"Quarantine","Returned")),IF(C185="issue","Issued",IF(C185="transfer","Moved",IF(C185="write_off","Written off",IF(C185="unfilled","Unfilled",""))))))))</f>
      </c>
      <c r="B185" s="31"/>
      <c r="C185" s="35"/>
      <c r="D185" s="33"/>
      <c r="E185" s="31"/>
      <c r="F185" s="31"/>
      <c r="G185" s="37">
        <f>IF(F185="","",IF(ISNA(MATCH(F185,'Item master'!$A$2:$A$301,0)),"Not in Item master",IFERROR(INDEX('Item master'!$B$2:$B$301,MATCH(F185,'Item master'!$A$2:$A$301,0))&amp;"","")))</f>
      </c>
      <c r="H185" s="34"/>
      <c r="I185" s="31"/>
      <c r="J185" s="31"/>
      <c r="K185" s="33"/>
      <c r="L185" s="31"/>
      <c r="M185" s="35"/>
      <c r="N185" s="30"/>
      <c r="O185" s="30"/>
      <c r="P185" s="36"/>
      <c r="Q185" s="38">
        <f>IF(OR(C185&lt;&gt;"loan",E185=""),"",IF(ISNA(MATCH(E185,Units!$A$2:$A$501,0)),"",IF(INDEX(Units!$E$2:$E$501,MATCH(E185,Units!$A$2:$A$501,0))="","",IF(K185="","No due date",IF(INT(K185)&gt;INDEX(Units!$E$2:$E$501,MATCH(E185,Units!$A$2:$A$501,0)),"Past cal date","OK")))))</f>
      </c>
      <c r="R185" s="37">
        <f>IF(A185="Overdue",K185+ROW()/10000000,"")</f>
      </c>
    </row>
    <row r="186">
      <c r="A186" s="38">
        <f>IF(C186="","",IF(B186="","Needs ID",IF(OR(C186="loan",C186="send_out"),IF(COUNTIF($L$2:$L$1001,B186)&gt;0,"Closed",IF(K186="","Open",IF(K186&lt;NOW(),"Overdue","Open"))),IF(C186="return",IF(OR(L186="",COUNTIF($B$2:$B$1001,L186)=0),"No match",IF(OR(M186="worn",M186="damaged"),"Quarantine","Returned")),IF(C186="issue","Issued",IF(C186="transfer","Moved",IF(C186="write_off","Written off",IF(C186="unfilled","Unfilled",""))))))))</f>
      </c>
      <c r="B186" s="31"/>
      <c r="C186" s="35"/>
      <c r="D186" s="33"/>
      <c r="E186" s="31"/>
      <c r="F186" s="31"/>
      <c r="G186" s="37">
        <f>IF(F186="","",IF(ISNA(MATCH(F186,'Item master'!$A$2:$A$301,0)),"Not in Item master",IFERROR(INDEX('Item master'!$B$2:$B$301,MATCH(F186,'Item master'!$A$2:$A$301,0))&amp;"","")))</f>
      </c>
      <c r="H186" s="34"/>
      <c r="I186" s="31"/>
      <c r="J186" s="31"/>
      <c r="K186" s="33"/>
      <c r="L186" s="31"/>
      <c r="M186" s="35"/>
      <c r="N186" s="30"/>
      <c r="O186" s="30"/>
      <c r="P186" s="36"/>
      <c r="Q186" s="38">
        <f>IF(OR(C186&lt;&gt;"loan",E186=""),"",IF(ISNA(MATCH(E186,Units!$A$2:$A$501,0)),"",IF(INDEX(Units!$E$2:$E$501,MATCH(E186,Units!$A$2:$A$501,0))="","",IF(K186="","No due date",IF(INT(K186)&gt;INDEX(Units!$E$2:$E$501,MATCH(E186,Units!$A$2:$A$501,0)),"Past cal date","OK")))))</f>
      </c>
      <c r="R186" s="37">
        <f>IF(A186="Overdue",K186+ROW()/10000000,"")</f>
      </c>
    </row>
    <row r="187">
      <c r="A187" s="38">
        <f>IF(C187="","",IF(B187="","Needs ID",IF(OR(C187="loan",C187="send_out"),IF(COUNTIF($L$2:$L$1001,B187)&gt;0,"Closed",IF(K187="","Open",IF(K187&lt;NOW(),"Overdue","Open"))),IF(C187="return",IF(OR(L187="",COUNTIF($B$2:$B$1001,L187)=0),"No match",IF(OR(M187="worn",M187="damaged"),"Quarantine","Returned")),IF(C187="issue","Issued",IF(C187="transfer","Moved",IF(C187="write_off","Written off",IF(C187="unfilled","Unfilled",""))))))))</f>
      </c>
      <c r="B187" s="31"/>
      <c r="C187" s="35"/>
      <c r="D187" s="33"/>
      <c r="E187" s="31"/>
      <c r="F187" s="31"/>
      <c r="G187" s="37">
        <f>IF(F187="","",IF(ISNA(MATCH(F187,'Item master'!$A$2:$A$301,0)),"Not in Item master",IFERROR(INDEX('Item master'!$B$2:$B$301,MATCH(F187,'Item master'!$A$2:$A$301,0))&amp;"","")))</f>
      </c>
      <c r="H187" s="34"/>
      <c r="I187" s="31"/>
      <c r="J187" s="31"/>
      <c r="K187" s="33"/>
      <c r="L187" s="31"/>
      <c r="M187" s="35"/>
      <c r="N187" s="30"/>
      <c r="O187" s="30"/>
      <c r="P187" s="36"/>
      <c r="Q187" s="38">
        <f>IF(OR(C187&lt;&gt;"loan",E187=""),"",IF(ISNA(MATCH(E187,Units!$A$2:$A$501,0)),"",IF(INDEX(Units!$E$2:$E$501,MATCH(E187,Units!$A$2:$A$501,0))="","",IF(K187="","No due date",IF(INT(K187)&gt;INDEX(Units!$E$2:$E$501,MATCH(E187,Units!$A$2:$A$501,0)),"Past cal date","OK")))))</f>
      </c>
      <c r="R187" s="37">
        <f>IF(A187="Overdue",K187+ROW()/10000000,"")</f>
      </c>
    </row>
    <row r="188">
      <c r="A188" s="38">
        <f>IF(C188="","",IF(B188="","Needs ID",IF(OR(C188="loan",C188="send_out"),IF(COUNTIF($L$2:$L$1001,B188)&gt;0,"Closed",IF(K188="","Open",IF(K188&lt;NOW(),"Overdue","Open"))),IF(C188="return",IF(OR(L188="",COUNTIF($B$2:$B$1001,L188)=0),"No match",IF(OR(M188="worn",M188="damaged"),"Quarantine","Returned")),IF(C188="issue","Issued",IF(C188="transfer","Moved",IF(C188="write_off","Written off",IF(C188="unfilled","Unfilled",""))))))))</f>
      </c>
      <c r="B188" s="31"/>
      <c r="C188" s="35"/>
      <c r="D188" s="33"/>
      <c r="E188" s="31"/>
      <c r="F188" s="31"/>
      <c r="G188" s="37">
        <f>IF(F188="","",IF(ISNA(MATCH(F188,'Item master'!$A$2:$A$301,0)),"Not in Item master",IFERROR(INDEX('Item master'!$B$2:$B$301,MATCH(F188,'Item master'!$A$2:$A$301,0))&amp;"","")))</f>
      </c>
      <c r="H188" s="34"/>
      <c r="I188" s="31"/>
      <c r="J188" s="31"/>
      <c r="K188" s="33"/>
      <c r="L188" s="31"/>
      <c r="M188" s="35"/>
      <c r="N188" s="30"/>
      <c r="O188" s="30"/>
      <c r="P188" s="36"/>
      <c r="Q188" s="38">
        <f>IF(OR(C188&lt;&gt;"loan",E188=""),"",IF(ISNA(MATCH(E188,Units!$A$2:$A$501,0)),"",IF(INDEX(Units!$E$2:$E$501,MATCH(E188,Units!$A$2:$A$501,0))="","",IF(K188="","No due date",IF(INT(K188)&gt;INDEX(Units!$E$2:$E$501,MATCH(E188,Units!$A$2:$A$501,0)),"Past cal date","OK")))))</f>
      </c>
      <c r="R188" s="37">
        <f>IF(A188="Overdue",K188+ROW()/10000000,"")</f>
      </c>
    </row>
    <row r="189">
      <c r="A189" s="38">
        <f>IF(C189="","",IF(B189="","Needs ID",IF(OR(C189="loan",C189="send_out"),IF(COUNTIF($L$2:$L$1001,B189)&gt;0,"Closed",IF(K189="","Open",IF(K189&lt;NOW(),"Overdue","Open"))),IF(C189="return",IF(OR(L189="",COUNTIF($B$2:$B$1001,L189)=0),"No match",IF(OR(M189="worn",M189="damaged"),"Quarantine","Returned")),IF(C189="issue","Issued",IF(C189="transfer","Moved",IF(C189="write_off","Written off",IF(C189="unfilled","Unfilled",""))))))))</f>
      </c>
      <c r="B189" s="31"/>
      <c r="C189" s="35"/>
      <c r="D189" s="33"/>
      <c r="E189" s="31"/>
      <c r="F189" s="31"/>
      <c r="G189" s="37">
        <f>IF(F189="","",IF(ISNA(MATCH(F189,'Item master'!$A$2:$A$301,0)),"Not in Item master",IFERROR(INDEX('Item master'!$B$2:$B$301,MATCH(F189,'Item master'!$A$2:$A$301,0))&amp;"","")))</f>
      </c>
      <c r="H189" s="34"/>
      <c r="I189" s="31"/>
      <c r="J189" s="31"/>
      <c r="K189" s="33"/>
      <c r="L189" s="31"/>
      <c r="M189" s="35"/>
      <c r="N189" s="30"/>
      <c r="O189" s="30"/>
      <c r="P189" s="36"/>
      <c r="Q189" s="38">
        <f>IF(OR(C189&lt;&gt;"loan",E189=""),"",IF(ISNA(MATCH(E189,Units!$A$2:$A$501,0)),"",IF(INDEX(Units!$E$2:$E$501,MATCH(E189,Units!$A$2:$A$501,0))="","",IF(K189="","No due date",IF(INT(K189)&gt;INDEX(Units!$E$2:$E$501,MATCH(E189,Units!$A$2:$A$501,0)),"Past cal date","OK")))))</f>
      </c>
      <c r="R189" s="37">
        <f>IF(A189="Overdue",K189+ROW()/10000000,"")</f>
      </c>
    </row>
    <row r="190">
      <c r="A190" s="38">
        <f>IF(C190="","",IF(B190="","Needs ID",IF(OR(C190="loan",C190="send_out"),IF(COUNTIF($L$2:$L$1001,B190)&gt;0,"Closed",IF(K190="","Open",IF(K190&lt;NOW(),"Overdue","Open"))),IF(C190="return",IF(OR(L190="",COUNTIF($B$2:$B$1001,L190)=0),"No match",IF(OR(M190="worn",M190="damaged"),"Quarantine","Returned")),IF(C190="issue","Issued",IF(C190="transfer","Moved",IF(C190="write_off","Written off",IF(C190="unfilled","Unfilled",""))))))))</f>
      </c>
      <c r="B190" s="31"/>
      <c r="C190" s="35"/>
      <c r="D190" s="33"/>
      <c r="E190" s="31"/>
      <c r="F190" s="31"/>
      <c r="G190" s="37">
        <f>IF(F190="","",IF(ISNA(MATCH(F190,'Item master'!$A$2:$A$301,0)),"Not in Item master",IFERROR(INDEX('Item master'!$B$2:$B$301,MATCH(F190,'Item master'!$A$2:$A$301,0))&amp;"","")))</f>
      </c>
      <c r="H190" s="34"/>
      <c r="I190" s="31"/>
      <c r="J190" s="31"/>
      <c r="K190" s="33"/>
      <c r="L190" s="31"/>
      <c r="M190" s="35"/>
      <c r="N190" s="30"/>
      <c r="O190" s="30"/>
      <c r="P190" s="36"/>
      <c r="Q190" s="38">
        <f>IF(OR(C190&lt;&gt;"loan",E190=""),"",IF(ISNA(MATCH(E190,Units!$A$2:$A$501,0)),"",IF(INDEX(Units!$E$2:$E$501,MATCH(E190,Units!$A$2:$A$501,0))="","",IF(K190="","No due date",IF(INT(K190)&gt;INDEX(Units!$E$2:$E$501,MATCH(E190,Units!$A$2:$A$501,0)),"Past cal date","OK")))))</f>
      </c>
      <c r="R190" s="37">
        <f>IF(A190="Overdue",K190+ROW()/10000000,"")</f>
      </c>
    </row>
    <row r="191">
      <c r="A191" s="38">
        <f>IF(C191="","",IF(B191="","Needs ID",IF(OR(C191="loan",C191="send_out"),IF(COUNTIF($L$2:$L$1001,B191)&gt;0,"Closed",IF(K191="","Open",IF(K191&lt;NOW(),"Overdue","Open"))),IF(C191="return",IF(OR(L191="",COUNTIF($B$2:$B$1001,L191)=0),"No match",IF(OR(M191="worn",M191="damaged"),"Quarantine","Returned")),IF(C191="issue","Issued",IF(C191="transfer","Moved",IF(C191="write_off","Written off",IF(C191="unfilled","Unfilled",""))))))))</f>
      </c>
      <c r="B191" s="31"/>
      <c r="C191" s="35"/>
      <c r="D191" s="33"/>
      <c r="E191" s="31"/>
      <c r="F191" s="31"/>
      <c r="G191" s="37">
        <f>IF(F191="","",IF(ISNA(MATCH(F191,'Item master'!$A$2:$A$301,0)),"Not in Item master",IFERROR(INDEX('Item master'!$B$2:$B$301,MATCH(F191,'Item master'!$A$2:$A$301,0))&amp;"","")))</f>
      </c>
      <c r="H191" s="34"/>
      <c r="I191" s="31"/>
      <c r="J191" s="31"/>
      <c r="K191" s="33"/>
      <c r="L191" s="31"/>
      <c r="M191" s="35"/>
      <c r="N191" s="30"/>
      <c r="O191" s="30"/>
      <c r="P191" s="36"/>
      <c r="Q191" s="38">
        <f>IF(OR(C191&lt;&gt;"loan",E191=""),"",IF(ISNA(MATCH(E191,Units!$A$2:$A$501,0)),"",IF(INDEX(Units!$E$2:$E$501,MATCH(E191,Units!$A$2:$A$501,0))="","",IF(K191="","No due date",IF(INT(K191)&gt;INDEX(Units!$E$2:$E$501,MATCH(E191,Units!$A$2:$A$501,0)),"Past cal date","OK")))))</f>
      </c>
      <c r="R191" s="37">
        <f>IF(A191="Overdue",K191+ROW()/10000000,"")</f>
      </c>
    </row>
    <row r="192">
      <c r="A192" s="38">
        <f>IF(C192="","",IF(B192="","Needs ID",IF(OR(C192="loan",C192="send_out"),IF(COUNTIF($L$2:$L$1001,B192)&gt;0,"Closed",IF(K192="","Open",IF(K192&lt;NOW(),"Overdue","Open"))),IF(C192="return",IF(OR(L192="",COUNTIF($B$2:$B$1001,L192)=0),"No match",IF(OR(M192="worn",M192="damaged"),"Quarantine","Returned")),IF(C192="issue","Issued",IF(C192="transfer","Moved",IF(C192="write_off","Written off",IF(C192="unfilled","Unfilled",""))))))))</f>
      </c>
      <c r="B192" s="31"/>
      <c r="C192" s="35"/>
      <c r="D192" s="33"/>
      <c r="E192" s="31"/>
      <c r="F192" s="31"/>
      <c r="G192" s="37">
        <f>IF(F192="","",IF(ISNA(MATCH(F192,'Item master'!$A$2:$A$301,0)),"Not in Item master",IFERROR(INDEX('Item master'!$B$2:$B$301,MATCH(F192,'Item master'!$A$2:$A$301,0))&amp;"","")))</f>
      </c>
      <c r="H192" s="34"/>
      <c r="I192" s="31"/>
      <c r="J192" s="31"/>
      <c r="K192" s="33"/>
      <c r="L192" s="31"/>
      <c r="M192" s="35"/>
      <c r="N192" s="30"/>
      <c r="O192" s="30"/>
      <c r="P192" s="36"/>
      <c r="Q192" s="38">
        <f>IF(OR(C192&lt;&gt;"loan",E192=""),"",IF(ISNA(MATCH(E192,Units!$A$2:$A$501,0)),"",IF(INDEX(Units!$E$2:$E$501,MATCH(E192,Units!$A$2:$A$501,0))="","",IF(K192="","No due date",IF(INT(K192)&gt;INDEX(Units!$E$2:$E$501,MATCH(E192,Units!$A$2:$A$501,0)),"Past cal date","OK")))))</f>
      </c>
      <c r="R192" s="37">
        <f>IF(A192="Overdue",K192+ROW()/10000000,"")</f>
      </c>
    </row>
    <row r="193">
      <c r="A193" s="38">
        <f>IF(C193="","",IF(B193="","Needs ID",IF(OR(C193="loan",C193="send_out"),IF(COUNTIF($L$2:$L$1001,B193)&gt;0,"Closed",IF(K193="","Open",IF(K193&lt;NOW(),"Overdue","Open"))),IF(C193="return",IF(OR(L193="",COUNTIF($B$2:$B$1001,L193)=0),"No match",IF(OR(M193="worn",M193="damaged"),"Quarantine","Returned")),IF(C193="issue","Issued",IF(C193="transfer","Moved",IF(C193="write_off","Written off",IF(C193="unfilled","Unfilled",""))))))))</f>
      </c>
      <c r="B193" s="31"/>
      <c r="C193" s="35"/>
      <c r="D193" s="33"/>
      <c r="E193" s="31"/>
      <c r="F193" s="31"/>
      <c r="G193" s="37">
        <f>IF(F193="","",IF(ISNA(MATCH(F193,'Item master'!$A$2:$A$301,0)),"Not in Item master",IFERROR(INDEX('Item master'!$B$2:$B$301,MATCH(F193,'Item master'!$A$2:$A$301,0))&amp;"","")))</f>
      </c>
      <c r="H193" s="34"/>
      <c r="I193" s="31"/>
      <c r="J193" s="31"/>
      <c r="K193" s="33"/>
      <c r="L193" s="31"/>
      <c r="M193" s="35"/>
      <c r="N193" s="30"/>
      <c r="O193" s="30"/>
      <c r="P193" s="36"/>
      <c r="Q193" s="38">
        <f>IF(OR(C193&lt;&gt;"loan",E193=""),"",IF(ISNA(MATCH(E193,Units!$A$2:$A$501,0)),"",IF(INDEX(Units!$E$2:$E$501,MATCH(E193,Units!$A$2:$A$501,0))="","",IF(K193="","No due date",IF(INT(K193)&gt;INDEX(Units!$E$2:$E$501,MATCH(E193,Units!$A$2:$A$501,0)),"Past cal date","OK")))))</f>
      </c>
      <c r="R193" s="37">
        <f>IF(A193="Overdue",K193+ROW()/10000000,"")</f>
      </c>
    </row>
    <row r="194">
      <c r="A194" s="38">
        <f>IF(C194="","",IF(B194="","Needs ID",IF(OR(C194="loan",C194="send_out"),IF(COUNTIF($L$2:$L$1001,B194)&gt;0,"Closed",IF(K194="","Open",IF(K194&lt;NOW(),"Overdue","Open"))),IF(C194="return",IF(OR(L194="",COUNTIF($B$2:$B$1001,L194)=0),"No match",IF(OR(M194="worn",M194="damaged"),"Quarantine","Returned")),IF(C194="issue","Issued",IF(C194="transfer","Moved",IF(C194="write_off","Written off",IF(C194="unfilled","Unfilled",""))))))))</f>
      </c>
      <c r="B194" s="31"/>
      <c r="C194" s="35"/>
      <c r="D194" s="33"/>
      <c r="E194" s="31"/>
      <c r="F194" s="31"/>
      <c r="G194" s="37">
        <f>IF(F194="","",IF(ISNA(MATCH(F194,'Item master'!$A$2:$A$301,0)),"Not in Item master",IFERROR(INDEX('Item master'!$B$2:$B$301,MATCH(F194,'Item master'!$A$2:$A$301,0))&amp;"","")))</f>
      </c>
      <c r="H194" s="34"/>
      <c r="I194" s="31"/>
      <c r="J194" s="31"/>
      <c r="K194" s="33"/>
      <c r="L194" s="31"/>
      <c r="M194" s="35"/>
      <c r="N194" s="30"/>
      <c r="O194" s="30"/>
      <c r="P194" s="36"/>
      <c r="Q194" s="38">
        <f>IF(OR(C194&lt;&gt;"loan",E194=""),"",IF(ISNA(MATCH(E194,Units!$A$2:$A$501,0)),"",IF(INDEX(Units!$E$2:$E$501,MATCH(E194,Units!$A$2:$A$501,0))="","",IF(K194="","No due date",IF(INT(K194)&gt;INDEX(Units!$E$2:$E$501,MATCH(E194,Units!$A$2:$A$501,0)),"Past cal date","OK")))))</f>
      </c>
      <c r="R194" s="37">
        <f>IF(A194="Overdue",K194+ROW()/10000000,"")</f>
      </c>
    </row>
    <row r="195">
      <c r="A195" s="38">
        <f>IF(C195="","",IF(B195="","Needs ID",IF(OR(C195="loan",C195="send_out"),IF(COUNTIF($L$2:$L$1001,B195)&gt;0,"Closed",IF(K195="","Open",IF(K195&lt;NOW(),"Overdue","Open"))),IF(C195="return",IF(OR(L195="",COUNTIF($B$2:$B$1001,L195)=0),"No match",IF(OR(M195="worn",M195="damaged"),"Quarantine","Returned")),IF(C195="issue","Issued",IF(C195="transfer","Moved",IF(C195="write_off","Written off",IF(C195="unfilled","Unfilled",""))))))))</f>
      </c>
      <c r="B195" s="31"/>
      <c r="C195" s="35"/>
      <c r="D195" s="33"/>
      <c r="E195" s="31"/>
      <c r="F195" s="31"/>
      <c r="G195" s="37">
        <f>IF(F195="","",IF(ISNA(MATCH(F195,'Item master'!$A$2:$A$301,0)),"Not in Item master",IFERROR(INDEX('Item master'!$B$2:$B$301,MATCH(F195,'Item master'!$A$2:$A$301,0))&amp;"","")))</f>
      </c>
      <c r="H195" s="34"/>
      <c r="I195" s="31"/>
      <c r="J195" s="31"/>
      <c r="K195" s="33"/>
      <c r="L195" s="31"/>
      <c r="M195" s="35"/>
      <c r="N195" s="30"/>
      <c r="O195" s="30"/>
      <c r="P195" s="36"/>
      <c r="Q195" s="38">
        <f>IF(OR(C195&lt;&gt;"loan",E195=""),"",IF(ISNA(MATCH(E195,Units!$A$2:$A$501,0)),"",IF(INDEX(Units!$E$2:$E$501,MATCH(E195,Units!$A$2:$A$501,0))="","",IF(K195="","No due date",IF(INT(K195)&gt;INDEX(Units!$E$2:$E$501,MATCH(E195,Units!$A$2:$A$501,0)),"Past cal date","OK")))))</f>
      </c>
      <c r="R195" s="37">
        <f>IF(A195="Overdue",K195+ROW()/10000000,"")</f>
      </c>
    </row>
    <row r="196">
      <c r="A196" s="38">
        <f>IF(C196="","",IF(B196="","Needs ID",IF(OR(C196="loan",C196="send_out"),IF(COUNTIF($L$2:$L$1001,B196)&gt;0,"Closed",IF(K196="","Open",IF(K196&lt;NOW(),"Overdue","Open"))),IF(C196="return",IF(OR(L196="",COUNTIF($B$2:$B$1001,L196)=0),"No match",IF(OR(M196="worn",M196="damaged"),"Quarantine","Returned")),IF(C196="issue","Issued",IF(C196="transfer","Moved",IF(C196="write_off","Written off",IF(C196="unfilled","Unfilled",""))))))))</f>
      </c>
      <c r="B196" s="31"/>
      <c r="C196" s="35"/>
      <c r="D196" s="33"/>
      <c r="E196" s="31"/>
      <c r="F196" s="31"/>
      <c r="G196" s="37">
        <f>IF(F196="","",IF(ISNA(MATCH(F196,'Item master'!$A$2:$A$301,0)),"Not in Item master",IFERROR(INDEX('Item master'!$B$2:$B$301,MATCH(F196,'Item master'!$A$2:$A$301,0))&amp;"","")))</f>
      </c>
      <c r="H196" s="34"/>
      <c r="I196" s="31"/>
      <c r="J196" s="31"/>
      <c r="K196" s="33"/>
      <c r="L196" s="31"/>
      <c r="M196" s="35"/>
      <c r="N196" s="30"/>
      <c r="O196" s="30"/>
      <c r="P196" s="36"/>
      <c r="Q196" s="38">
        <f>IF(OR(C196&lt;&gt;"loan",E196=""),"",IF(ISNA(MATCH(E196,Units!$A$2:$A$501,0)),"",IF(INDEX(Units!$E$2:$E$501,MATCH(E196,Units!$A$2:$A$501,0))="","",IF(K196="","No due date",IF(INT(K196)&gt;INDEX(Units!$E$2:$E$501,MATCH(E196,Units!$A$2:$A$501,0)),"Past cal date","OK")))))</f>
      </c>
      <c r="R196" s="37">
        <f>IF(A196="Overdue",K196+ROW()/10000000,"")</f>
      </c>
    </row>
    <row r="197">
      <c r="A197" s="38">
        <f>IF(C197="","",IF(B197="","Needs ID",IF(OR(C197="loan",C197="send_out"),IF(COUNTIF($L$2:$L$1001,B197)&gt;0,"Closed",IF(K197="","Open",IF(K197&lt;NOW(),"Overdue","Open"))),IF(C197="return",IF(OR(L197="",COUNTIF($B$2:$B$1001,L197)=0),"No match",IF(OR(M197="worn",M197="damaged"),"Quarantine","Returned")),IF(C197="issue","Issued",IF(C197="transfer","Moved",IF(C197="write_off","Written off",IF(C197="unfilled","Unfilled",""))))))))</f>
      </c>
      <c r="B197" s="31"/>
      <c r="C197" s="35"/>
      <c r="D197" s="33"/>
      <c r="E197" s="31"/>
      <c r="F197" s="31"/>
      <c r="G197" s="37">
        <f>IF(F197="","",IF(ISNA(MATCH(F197,'Item master'!$A$2:$A$301,0)),"Not in Item master",IFERROR(INDEX('Item master'!$B$2:$B$301,MATCH(F197,'Item master'!$A$2:$A$301,0))&amp;"","")))</f>
      </c>
      <c r="H197" s="34"/>
      <c r="I197" s="31"/>
      <c r="J197" s="31"/>
      <c r="K197" s="33"/>
      <c r="L197" s="31"/>
      <c r="M197" s="35"/>
      <c r="N197" s="30"/>
      <c r="O197" s="30"/>
      <c r="P197" s="36"/>
      <c r="Q197" s="38">
        <f>IF(OR(C197&lt;&gt;"loan",E197=""),"",IF(ISNA(MATCH(E197,Units!$A$2:$A$501,0)),"",IF(INDEX(Units!$E$2:$E$501,MATCH(E197,Units!$A$2:$A$501,0))="","",IF(K197="","No due date",IF(INT(K197)&gt;INDEX(Units!$E$2:$E$501,MATCH(E197,Units!$A$2:$A$501,0)),"Past cal date","OK")))))</f>
      </c>
      <c r="R197" s="37">
        <f>IF(A197="Overdue",K197+ROW()/10000000,"")</f>
      </c>
    </row>
    <row r="198">
      <c r="A198" s="38">
        <f>IF(C198="","",IF(B198="","Needs ID",IF(OR(C198="loan",C198="send_out"),IF(COUNTIF($L$2:$L$1001,B198)&gt;0,"Closed",IF(K198="","Open",IF(K198&lt;NOW(),"Overdue","Open"))),IF(C198="return",IF(OR(L198="",COUNTIF($B$2:$B$1001,L198)=0),"No match",IF(OR(M198="worn",M198="damaged"),"Quarantine","Returned")),IF(C198="issue","Issued",IF(C198="transfer","Moved",IF(C198="write_off","Written off",IF(C198="unfilled","Unfilled",""))))))))</f>
      </c>
      <c r="B198" s="31"/>
      <c r="C198" s="35"/>
      <c r="D198" s="33"/>
      <c r="E198" s="31"/>
      <c r="F198" s="31"/>
      <c r="G198" s="37">
        <f>IF(F198="","",IF(ISNA(MATCH(F198,'Item master'!$A$2:$A$301,0)),"Not in Item master",IFERROR(INDEX('Item master'!$B$2:$B$301,MATCH(F198,'Item master'!$A$2:$A$301,0))&amp;"","")))</f>
      </c>
      <c r="H198" s="34"/>
      <c r="I198" s="31"/>
      <c r="J198" s="31"/>
      <c r="K198" s="33"/>
      <c r="L198" s="31"/>
      <c r="M198" s="35"/>
      <c r="N198" s="30"/>
      <c r="O198" s="30"/>
      <c r="P198" s="36"/>
      <c r="Q198" s="38">
        <f>IF(OR(C198&lt;&gt;"loan",E198=""),"",IF(ISNA(MATCH(E198,Units!$A$2:$A$501,0)),"",IF(INDEX(Units!$E$2:$E$501,MATCH(E198,Units!$A$2:$A$501,0))="","",IF(K198="","No due date",IF(INT(K198)&gt;INDEX(Units!$E$2:$E$501,MATCH(E198,Units!$A$2:$A$501,0)),"Past cal date","OK")))))</f>
      </c>
      <c r="R198" s="37">
        <f>IF(A198="Overdue",K198+ROW()/10000000,"")</f>
      </c>
    </row>
    <row r="199">
      <c r="A199" s="38">
        <f>IF(C199="","",IF(B199="","Needs ID",IF(OR(C199="loan",C199="send_out"),IF(COUNTIF($L$2:$L$1001,B199)&gt;0,"Closed",IF(K199="","Open",IF(K199&lt;NOW(),"Overdue","Open"))),IF(C199="return",IF(OR(L199="",COUNTIF($B$2:$B$1001,L199)=0),"No match",IF(OR(M199="worn",M199="damaged"),"Quarantine","Returned")),IF(C199="issue","Issued",IF(C199="transfer","Moved",IF(C199="write_off","Written off",IF(C199="unfilled","Unfilled",""))))))))</f>
      </c>
      <c r="B199" s="31"/>
      <c r="C199" s="35"/>
      <c r="D199" s="33"/>
      <c r="E199" s="31"/>
      <c r="F199" s="31"/>
      <c r="G199" s="37">
        <f>IF(F199="","",IF(ISNA(MATCH(F199,'Item master'!$A$2:$A$301,0)),"Not in Item master",IFERROR(INDEX('Item master'!$B$2:$B$301,MATCH(F199,'Item master'!$A$2:$A$301,0))&amp;"","")))</f>
      </c>
      <c r="H199" s="34"/>
      <c r="I199" s="31"/>
      <c r="J199" s="31"/>
      <c r="K199" s="33"/>
      <c r="L199" s="31"/>
      <c r="M199" s="35"/>
      <c r="N199" s="30"/>
      <c r="O199" s="30"/>
      <c r="P199" s="36"/>
      <c r="Q199" s="38">
        <f>IF(OR(C199&lt;&gt;"loan",E199=""),"",IF(ISNA(MATCH(E199,Units!$A$2:$A$501,0)),"",IF(INDEX(Units!$E$2:$E$501,MATCH(E199,Units!$A$2:$A$501,0))="","",IF(K199="","No due date",IF(INT(K199)&gt;INDEX(Units!$E$2:$E$501,MATCH(E199,Units!$A$2:$A$501,0)),"Past cal date","OK")))))</f>
      </c>
      <c r="R199" s="37">
        <f>IF(A199="Overdue",K199+ROW()/10000000,"")</f>
      </c>
    </row>
    <row r="200">
      <c r="A200" s="38">
        <f>IF(C200="","",IF(B200="","Needs ID",IF(OR(C200="loan",C200="send_out"),IF(COUNTIF($L$2:$L$1001,B200)&gt;0,"Closed",IF(K200="","Open",IF(K200&lt;NOW(),"Overdue","Open"))),IF(C200="return",IF(OR(L200="",COUNTIF($B$2:$B$1001,L200)=0),"No match",IF(OR(M200="worn",M200="damaged"),"Quarantine","Returned")),IF(C200="issue","Issued",IF(C200="transfer","Moved",IF(C200="write_off","Written off",IF(C200="unfilled","Unfilled",""))))))))</f>
      </c>
      <c r="B200" s="31"/>
      <c r="C200" s="35"/>
      <c r="D200" s="33"/>
      <c r="E200" s="31"/>
      <c r="F200" s="31"/>
      <c r="G200" s="37">
        <f>IF(F200="","",IF(ISNA(MATCH(F200,'Item master'!$A$2:$A$301,0)),"Not in Item master",IFERROR(INDEX('Item master'!$B$2:$B$301,MATCH(F200,'Item master'!$A$2:$A$301,0))&amp;"","")))</f>
      </c>
      <c r="H200" s="34"/>
      <c r="I200" s="31"/>
      <c r="J200" s="31"/>
      <c r="K200" s="33"/>
      <c r="L200" s="31"/>
      <c r="M200" s="35"/>
      <c r="N200" s="30"/>
      <c r="O200" s="30"/>
      <c r="P200" s="36"/>
      <c r="Q200" s="38">
        <f>IF(OR(C200&lt;&gt;"loan",E200=""),"",IF(ISNA(MATCH(E200,Units!$A$2:$A$501,0)),"",IF(INDEX(Units!$E$2:$E$501,MATCH(E200,Units!$A$2:$A$501,0))="","",IF(K200="","No due date",IF(INT(K200)&gt;INDEX(Units!$E$2:$E$501,MATCH(E200,Units!$A$2:$A$501,0)),"Past cal date","OK")))))</f>
      </c>
      <c r="R200" s="37">
        <f>IF(A200="Overdue",K200+ROW()/10000000,"")</f>
      </c>
    </row>
    <row r="201">
      <c r="A201" s="38">
        <f>IF(C201="","",IF(B201="","Needs ID",IF(OR(C201="loan",C201="send_out"),IF(COUNTIF($L$2:$L$1001,B201)&gt;0,"Closed",IF(K201="","Open",IF(K201&lt;NOW(),"Overdue","Open"))),IF(C201="return",IF(OR(L201="",COUNTIF($B$2:$B$1001,L201)=0),"No match",IF(OR(M201="worn",M201="damaged"),"Quarantine","Returned")),IF(C201="issue","Issued",IF(C201="transfer","Moved",IF(C201="write_off","Written off",IF(C201="unfilled","Unfilled",""))))))))</f>
      </c>
      <c r="B201" s="31"/>
      <c r="C201" s="35"/>
      <c r="D201" s="33"/>
      <c r="E201" s="31"/>
      <c r="F201" s="31"/>
      <c r="G201" s="37">
        <f>IF(F201="","",IF(ISNA(MATCH(F201,'Item master'!$A$2:$A$301,0)),"Not in Item master",IFERROR(INDEX('Item master'!$B$2:$B$301,MATCH(F201,'Item master'!$A$2:$A$301,0))&amp;"","")))</f>
      </c>
      <c r="H201" s="34"/>
      <c r="I201" s="31"/>
      <c r="J201" s="31"/>
      <c r="K201" s="33"/>
      <c r="L201" s="31"/>
      <c r="M201" s="35"/>
      <c r="N201" s="30"/>
      <c r="O201" s="30"/>
      <c r="P201" s="36"/>
      <c r="Q201" s="38">
        <f>IF(OR(C201&lt;&gt;"loan",E201=""),"",IF(ISNA(MATCH(E201,Units!$A$2:$A$501,0)),"",IF(INDEX(Units!$E$2:$E$501,MATCH(E201,Units!$A$2:$A$501,0))="","",IF(K201="","No due date",IF(INT(K201)&gt;INDEX(Units!$E$2:$E$501,MATCH(E201,Units!$A$2:$A$501,0)),"Past cal date","OK")))))</f>
      </c>
      <c r="R201" s="37">
        <f>IF(A201="Overdue",K201+ROW()/10000000,"")</f>
      </c>
    </row>
    <row r="202">
      <c r="A202" s="38">
        <f>IF(C202="","",IF(B202="","Needs ID",IF(OR(C202="loan",C202="send_out"),IF(COUNTIF($L$2:$L$1001,B202)&gt;0,"Closed",IF(K202="","Open",IF(K202&lt;NOW(),"Overdue","Open"))),IF(C202="return",IF(OR(L202="",COUNTIF($B$2:$B$1001,L202)=0),"No match",IF(OR(M202="worn",M202="damaged"),"Quarantine","Returned")),IF(C202="issue","Issued",IF(C202="transfer","Moved",IF(C202="write_off","Written off",IF(C202="unfilled","Unfilled",""))))))))</f>
      </c>
      <c r="B202" s="31"/>
      <c r="C202" s="35"/>
      <c r="D202" s="33"/>
      <c r="E202" s="31"/>
      <c r="F202" s="31"/>
      <c r="G202" s="37">
        <f>IF(F202="","",IF(ISNA(MATCH(F202,'Item master'!$A$2:$A$301,0)),"Not in Item master",IFERROR(INDEX('Item master'!$B$2:$B$301,MATCH(F202,'Item master'!$A$2:$A$301,0))&amp;"","")))</f>
      </c>
      <c r="H202" s="34"/>
      <c r="I202" s="31"/>
      <c r="J202" s="31"/>
      <c r="K202" s="33"/>
      <c r="L202" s="31"/>
      <c r="M202" s="35"/>
      <c r="N202" s="30"/>
      <c r="O202" s="30"/>
      <c r="P202" s="36"/>
      <c r="Q202" s="38">
        <f>IF(OR(C202&lt;&gt;"loan",E202=""),"",IF(ISNA(MATCH(E202,Units!$A$2:$A$501,0)),"",IF(INDEX(Units!$E$2:$E$501,MATCH(E202,Units!$A$2:$A$501,0))="","",IF(K202="","No due date",IF(INT(K202)&gt;INDEX(Units!$E$2:$E$501,MATCH(E202,Units!$A$2:$A$501,0)),"Past cal date","OK")))))</f>
      </c>
      <c r="R202" s="37">
        <f>IF(A202="Overdue",K202+ROW()/10000000,"")</f>
      </c>
    </row>
    <row r="203">
      <c r="A203" s="38">
        <f>IF(C203="","",IF(B203="","Needs ID",IF(OR(C203="loan",C203="send_out"),IF(COUNTIF($L$2:$L$1001,B203)&gt;0,"Closed",IF(K203="","Open",IF(K203&lt;NOW(),"Overdue","Open"))),IF(C203="return",IF(OR(L203="",COUNTIF($B$2:$B$1001,L203)=0),"No match",IF(OR(M203="worn",M203="damaged"),"Quarantine","Returned")),IF(C203="issue","Issued",IF(C203="transfer","Moved",IF(C203="write_off","Written off",IF(C203="unfilled","Unfilled",""))))))))</f>
      </c>
      <c r="B203" s="31"/>
      <c r="C203" s="35"/>
      <c r="D203" s="33"/>
      <c r="E203" s="31"/>
      <c r="F203" s="31"/>
      <c r="G203" s="37">
        <f>IF(F203="","",IF(ISNA(MATCH(F203,'Item master'!$A$2:$A$301,0)),"Not in Item master",IFERROR(INDEX('Item master'!$B$2:$B$301,MATCH(F203,'Item master'!$A$2:$A$301,0))&amp;"","")))</f>
      </c>
      <c r="H203" s="34"/>
      <c r="I203" s="31"/>
      <c r="J203" s="31"/>
      <c r="K203" s="33"/>
      <c r="L203" s="31"/>
      <c r="M203" s="35"/>
      <c r="N203" s="30"/>
      <c r="O203" s="30"/>
      <c r="P203" s="36"/>
      <c r="Q203" s="38">
        <f>IF(OR(C203&lt;&gt;"loan",E203=""),"",IF(ISNA(MATCH(E203,Units!$A$2:$A$501,0)),"",IF(INDEX(Units!$E$2:$E$501,MATCH(E203,Units!$A$2:$A$501,0))="","",IF(K203="","No due date",IF(INT(K203)&gt;INDEX(Units!$E$2:$E$501,MATCH(E203,Units!$A$2:$A$501,0)),"Past cal date","OK")))))</f>
      </c>
      <c r="R203" s="37">
        <f>IF(A203="Overdue",K203+ROW()/10000000,"")</f>
      </c>
    </row>
    <row r="204">
      <c r="A204" s="38">
        <f>IF(C204="","",IF(B204="","Needs ID",IF(OR(C204="loan",C204="send_out"),IF(COUNTIF($L$2:$L$1001,B204)&gt;0,"Closed",IF(K204="","Open",IF(K204&lt;NOW(),"Overdue","Open"))),IF(C204="return",IF(OR(L204="",COUNTIF($B$2:$B$1001,L204)=0),"No match",IF(OR(M204="worn",M204="damaged"),"Quarantine","Returned")),IF(C204="issue","Issued",IF(C204="transfer","Moved",IF(C204="write_off","Written off",IF(C204="unfilled","Unfilled",""))))))))</f>
      </c>
      <c r="B204" s="31"/>
      <c r="C204" s="35"/>
      <c r="D204" s="33"/>
      <c r="E204" s="31"/>
      <c r="F204" s="31"/>
      <c r="G204" s="37">
        <f>IF(F204="","",IF(ISNA(MATCH(F204,'Item master'!$A$2:$A$301,0)),"Not in Item master",IFERROR(INDEX('Item master'!$B$2:$B$301,MATCH(F204,'Item master'!$A$2:$A$301,0))&amp;"","")))</f>
      </c>
      <c r="H204" s="34"/>
      <c r="I204" s="31"/>
      <c r="J204" s="31"/>
      <c r="K204" s="33"/>
      <c r="L204" s="31"/>
      <c r="M204" s="35"/>
      <c r="N204" s="30"/>
      <c r="O204" s="30"/>
      <c r="P204" s="36"/>
      <c r="Q204" s="38">
        <f>IF(OR(C204&lt;&gt;"loan",E204=""),"",IF(ISNA(MATCH(E204,Units!$A$2:$A$501,0)),"",IF(INDEX(Units!$E$2:$E$501,MATCH(E204,Units!$A$2:$A$501,0))="","",IF(K204="","No due date",IF(INT(K204)&gt;INDEX(Units!$E$2:$E$501,MATCH(E204,Units!$A$2:$A$501,0)),"Past cal date","OK")))))</f>
      </c>
      <c r="R204" s="37">
        <f>IF(A204="Overdue",K204+ROW()/10000000,"")</f>
      </c>
    </row>
    <row r="205">
      <c r="A205" s="38">
        <f>IF(C205="","",IF(B205="","Needs ID",IF(OR(C205="loan",C205="send_out"),IF(COUNTIF($L$2:$L$1001,B205)&gt;0,"Closed",IF(K205="","Open",IF(K205&lt;NOW(),"Overdue","Open"))),IF(C205="return",IF(OR(L205="",COUNTIF($B$2:$B$1001,L205)=0),"No match",IF(OR(M205="worn",M205="damaged"),"Quarantine","Returned")),IF(C205="issue","Issued",IF(C205="transfer","Moved",IF(C205="write_off","Written off",IF(C205="unfilled","Unfilled",""))))))))</f>
      </c>
      <c r="B205" s="31"/>
      <c r="C205" s="35"/>
      <c r="D205" s="33"/>
      <c r="E205" s="31"/>
      <c r="F205" s="31"/>
      <c r="G205" s="37">
        <f>IF(F205="","",IF(ISNA(MATCH(F205,'Item master'!$A$2:$A$301,0)),"Not in Item master",IFERROR(INDEX('Item master'!$B$2:$B$301,MATCH(F205,'Item master'!$A$2:$A$301,0))&amp;"","")))</f>
      </c>
      <c r="H205" s="34"/>
      <c r="I205" s="31"/>
      <c r="J205" s="31"/>
      <c r="K205" s="33"/>
      <c r="L205" s="31"/>
      <c r="M205" s="35"/>
      <c r="N205" s="30"/>
      <c r="O205" s="30"/>
      <c r="P205" s="36"/>
      <c r="Q205" s="38">
        <f>IF(OR(C205&lt;&gt;"loan",E205=""),"",IF(ISNA(MATCH(E205,Units!$A$2:$A$501,0)),"",IF(INDEX(Units!$E$2:$E$501,MATCH(E205,Units!$A$2:$A$501,0))="","",IF(K205="","No due date",IF(INT(K205)&gt;INDEX(Units!$E$2:$E$501,MATCH(E205,Units!$A$2:$A$501,0)),"Past cal date","OK")))))</f>
      </c>
      <c r="R205" s="37">
        <f>IF(A205="Overdue",K205+ROW()/10000000,"")</f>
      </c>
    </row>
    <row r="206">
      <c r="A206" s="38">
        <f>IF(C206="","",IF(B206="","Needs ID",IF(OR(C206="loan",C206="send_out"),IF(COUNTIF($L$2:$L$1001,B206)&gt;0,"Closed",IF(K206="","Open",IF(K206&lt;NOW(),"Overdue","Open"))),IF(C206="return",IF(OR(L206="",COUNTIF($B$2:$B$1001,L206)=0),"No match",IF(OR(M206="worn",M206="damaged"),"Quarantine","Returned")),IF(C206="issue","Issued",IF(C206="transfer","Moved",IF(C206="write_off","Written off",IF(C206="unfilled","Unfilled",""))))))))</f>
      </c>
      <c r="B206" s="31"/>
      <c r="C206" s="35"/>
      <c r="D206" s="33"/>
      <c r="E206" s="31"/>
      <c r="F206" s="31"/>
      <c r="G206" s="37">
        <f>IF(F206="","",IF(ISNA(MATCH(F206,'Item master'!$A$2:$A$301,0)),"Not in Item master",IFERROR(INDEX('Item master'!$B$2:$B$301,MATCH(F206,'Item master'!$A$2:$A$301,0))&amp;"","")))</f>
      </c>
      <c r="H206" s="34"/>
      <c r="I206" s="31"/>
      <c r="J206" s="31"/>
      <c r="K206" s="33"/>
      <c r="L206" s="31"/>
      <c r="M206" s="35"/>
      <c r="N206" s="30"/>
      <c r="O206" s="30"/>
      <c r="P206" s="36"/>
      <c r="Q206" s="38">
        <f>IF(OR(C206&lt;&gt;"loan",E206=""),"",IF(ISNA(MATCH(E206,Units!$A$2:$A$501,0)),"",IF(INDEX(Units!$E$2:$E$501,MATCH(E206,Units!$A$2:$A$501,0))="","",IF(K206="","No due date",IF(INT(K206)&gt;INDEX(Units!$E$2:$E$501,MATCH(E206,Units!$A$2:$A$501,0)),"Past cal date","OK")))))</f>
      </c>
      <c r="R206" s="37">
        <f>IF(A206="Overdue",K206+ROW()/10000000,"")</f>
      </c>
    </row>
    <row r="207">
      <c r="A207" s="38">
        <f>IF(C207="","",IF(B207="","Needs ID",IF(OR(C207="loan",C207="send_out"),IF(COUNTIF($L$2:$L$1001,B207)&gt;0,"Closed",IF(K207="","Open",IF(K207&lt;NOW(),"Overdue","Open"))),IF(C207="return",IF(OR(L207="",COUNTIF($B$2:$B$1001,L207)=0),"No match",IF(OR(M207="worn",M207="damaged"),"Quarantine","Returned")),IF(C207="issue","Issued",IF(C207="transfer","Moved",IF(C207="write_off","Written off",IF(C207="unfilled","Unfilled",""))))))))</f>
      </c>
      <c r="B207" s="31"/>
      <c r="C207" s="35"/>
      <c r="D207" s="33"/>
      <c r="E207" s="31"/>
      <c r="F207" s="31"/>
      <c r="G207" s="37">
        <f>IF(F207="","",IF(ISNA(MATCH(F207,'Item master'!$A$2:$A$301,0)),"Not in Item master",IFERROR(INDEX('Item master'!$B$2:$B$301,MATCH(F207,'Item master'!$A$2:$A$301,0))&amp;"","")))</f>
      </c>
      <c r="H207" s="34"/>
      <c r="I207" s="31"/>
      <c r="J207" s="31"/>
      <c r="K207" s="33"/>
      <c r="L207" s="31"/>
      <c r="M207" s="35"/>
      <c r="N207" s="30"/>
      <c r="O207" s="30"/>
      <c r="P207" s="36"/>
      <c r="Q207" s="38">
        <f>IF(OR(C207&lt;&gt;"loan",E207=""),"",IF(ISNA(MATCH(E207,Units!$A$2:$A$501,0)),"",IF(INDEX(Units!$E$2:$E$501,MATCH(E207,Units!$A$2:$A$501,0))="","",IF(K207="","No due date",IF(INT(K207)&gt;INDEX(Units!$E$2:$E$501,MATCH(E207,Units!$A$2:$A$501,0)),"Past cal date","OK")))))</f>
      </c>
      <c r="R207" s="37">
        <f>IF(A207="Overdue",K207+ROW()/10000000,"")</f>
      </c>
    </row>
    <row r="208">
      <c r="A208" s="38">
        <f>IF(C208="","",IF(B208="","Needs ID",IF(OR(C208="loan",C208="send_out"),IF(COUNTIF($L$2:$L$1001,B208)&gt;0,"Closed",IF(K208="","Open",IF(K208&lt;NOW(),"Overdue","Open"))),IF(C208="return",IF(OR(L208="",COUNTIF($B$2:$B$1001,L208)=0),"No match",IF(OR(M208="worn",M208="damaged"),"Quarantine","Returned")),IF(C208="issue","Issued",IF(C208="transfer","Moved",IF(C208="write_off","Written off",IF(C208="unfilled","Unfilled",""))))))))</f>
      </c>
      <c r="B208" s="31"/>
      <c r="C208" s="35"/>
      <c r="D208" s="33"/>
      <c r="E208" s="31"/>
      <c r="F208" s="31"/>
      <c r="G208" s="37">
        <f>IF(F208="","",IF(ISNA(MATCH(F208,'Item master'!$A$2:$A$301,0)),"Not in Item master",IFERROR(INDEX('Item master'!$B$2:$B$301,MATCH(F208,'Item master'!$A$2:$A$301,0))&amp;"","")))</f>
      </c>
      <c r="H208" s="34"/>
      <c r="I208" s="31"/>
      <c r="J208" s="31"/>
      <c r="K208" s="33"/>
      <c r="L208" s="31"/>
      <c r="M208" s="35"/>
      <c r="N208" s="30"/>
      <c r="O208" s="30"/>
      <c r="P208" s="36"/>
      <c r="Q208" s="38">
        <f>IF(OR(C208&lt;&gt;"loan",E208=""),"",IF(ISNA(MATCH(E208,Units!$A$2:$A$501,0)),"",IF(INDEX(Units!$E$2:$E$501,MATCH(E208,Units!$A$2:$A$501,0))="","",IF(K208="","No due date",IF(INT(K208)&gt;INDEX(Units!$E$2:$E$501,MATCH(E208,Units!$A$2:$A$501,0)),"Past cal date","OK")))))</f>
      </c>
      <c r="R208" s="37">
        <f>IF(A208="Overdue",K208+ROW()/10000000,"")</f>
      </c>
    </row>
    <row r="209">
      <c r="A209" s="38">
        <f>IF(C209="","",IF(B209="","Needs ID",IF(OR(C209="loan",C209="send_out"),IF(COUNTIF($L$2:$L$1001,B209)&gt;0,"Closed",IF(K209="","Open",IF(K209&lt;NOW(),"Overdue","Open"))),IF(C209="return",IF(OR(L209="",COUNTIF($B$2:$B$1001,L209)=0),"No match",IF(OR(M209="worn",M209="damaged"),"Quarantine","Returned")),IF(C209="issue","Issued",IF(C209="transfer","Moved",IF(C209="write_off","Written off",IF(C209="unfilled","Unfilled",""))))))))</f>
      </c>
      <c r="B209" s="31"/>
      <c r="C209" s="35"/>
      <c r="D209" s="33"/>
      <c r="E209" s="31"/>
      <c r="F209" s="31"/>
      <c r="G209" s="37">
        <f>IF(F209="","",IF(ISNA(MATCH(F209,'Item master'!$A$2:$A$301,0)),"Not in Item master",IFERROR(INDEX('Item master'!$B$2:$B$301,MATCH(F209,'Item master'!$A$2:$A$301,0))&amp;"","")))</f>
      </c>
      <c r="H209" s="34"/>
      <c r="I209" s="31"/>
      <c r="J209" s="31"/>
      <c r="K209" s="33"/>
      <c r="L209" s="31"/>
      <c r="M209" s="35"/>
      <c r="N209" s="30"/>
      <c r="O209" s="30"/>
      <c r="P209" s="36"/>
      <c r="Q209" s="38">
        <f>IF(OR(C209&lt;&gt;"loan",E209=""),"",IF(ISNA(MATCH(E209,Units!$A$2:$A$501,0)),"",IF(INDEX(Units!$E$2:$E$501,MATCH(E209,Units!$A$2:$A$501,0))="","",IF(K209="","No due date",IF(INT(K209)&gt;INDEX(Units!$E$2:$E$501,MATCH(E209,Units!$A$2:$A$501,0)),"Past cal date","OK")))))</f>
      </c>
      <c r="R209" s="37">
        <f>IF(A209="Overdue",K209+ROW()/10000000,"")</f>
      </c>
    </row>
    <row r="210">
      <c r="A210" s="38">
        <f>IF(C210="","",IF(B210="","Needs ID",IF(OR(C210="loan",C210="send_out"),IF(COUNTIF($L$2:$L$1001,B210)&gt;0,"Closed",IF(K210="","Open",IF(K210&lt;NOW(),"Overdue","Open"))),IF(C210="return",IF(OR(L210="",COUNTIF($B$2:$B$1001,L210)=0),"No match",IF(OR(M210="worn",M210="damaged"),"Quarantine","Returned")),IF(C210="issue","Issued",IF(C210="transfer","Moved",IF(C210="write_off","Written off",IF(C210="unfilled","Unfilled",""))))))))</f>
      </c>
      <c r="B210" s="31"/>
      <c r="C210" s="35"/>
      <c r="D210" s="33"/>
      <c r="E210" s="31"/>
      <c r="F210" s="31"/>
      <c r="G210" s="37">
        <f>IF(F210="","",IF(ISNA(MATCH(F210,'Item master'!$A$2:$A$301,0)),"Not in Item master",IFERROR(INDEX('Item master'!$B$2:$B$301,MATCH(F210,'Item master'!$A$2:$A$301,0))&amp;"","")))</f>
      </c>
      <c r="H210" s="34"/>
      <c r="I210" s="31"/>
      <c r="J210" s="31"/>
      <c r="K210" s="33"/>
      <c r="L210" s="31"/>
      <c r="M210" s="35"/>
      <c r="N210" s="30"/>
      <c r="O210" s="30"/>
      <c r="P210" s="36"/>
      <c r="Q210" s="38">
        <f>IF(OR(C210&lt;&gt;"loan",E210=""),"",IF(ISNA(MATCH(E210,Units!$A$2:$A$501,0)),"",IF(INDEX(Units!$E$2:$E$501,MATCH(E210,Units!$A$2:$A$501,0))="","",IF(K210="","No due date",IF(INT(K210)&gt;INDEX(Units!$E$2:$E$501,MATCH(E210,Units!$A$2:$A$501,0)),"Past cal date","OK")))))</f>
      </c>
      <c r="R210" s="37">
        <f>IF(A210="Overdue",K210+ROW()/10000000,"")</f>
      </c>
    </row>
    <row r="211">
      <c r="A211" s="38">
        <f>IF(C211="","",IF(B211="","Needs ID",IF(OR(C211="loan",C211="send_out"),IF(COUNTIF($L$2:$L$1001,B211)&gt;0,"Closed",IF(K211="","Open",IF(K211&lt;NOW(),"Overdue","Open"))),IF(C211="return",IF(OR(L211="",COUNTIF($B$2:$B$1001,L211)=0),"No match",IF(OR(M211="worn",M211="damaged"),"Quarantine","Returned")),IF(C211="issue","Issued",IF(C211="transfer","Moved",IF(C211="write_off","Written off",IF(C211="unfilled","Unfilled",""))))))))</f>
      </c>
      <c r="B211" s="31"/>
      <c r="C211" s="35"/>
      <c r="D211" s="33"/>
      <c r="E211" s="31"/>
      <c r="F211" s="31"/>
      <c r="G211" s="37">
        <f>IF(F211="","",IF(ISNA(MATCH(F211,'Item master'!$A$2:$A$301,0)),"Not in Item master",IFERROR(INDEX('Item master'!$B$2:$B$301,MATCH(F211,'Item master'!$A$2:$A$301,0))&amp;"","")))</f>
      </c>
      <c r="H211" s="34"/>
      <c r="I211" s="31"/>
      <c r="J211" s="31"/>
      <c r="K211" s="33"/>
      <c r="L211" s="31"/>
      <c r="M211" s="35"/>
      <c r="N211" s="30"/>
      <c r="O211" s="30"/>
      <c r="P211" s="36"/>
      <c r="Q211" s="38">
        <f>IF(OR(C211&lt;&gt;"loan",E211=""),"",IF(ISNA(MATCH(E211,Units!$A$2:$A$501,0)),"",IF(INDEX(Units!$E$2:$E$501,MATCH(E211,Units!$A$2:$A$501,0))="","",IF(K211="","No due date",IF(INT(K211)&gt;INDEX(Units!$E$2:$E$501,MATCH(E211,Units!$A$2:$A$501,0)),"Past cal date","OK")))))</f>
      </c>
      <c r="R211" s="37">
        <f>IF(A211="Overdue",K211+ROW()/10000000,"")</f>
      </c>
    </row>
    <row r="212">
      <c r="A212" s="38">
        <f>IF(C212="","",IF(B212="","Needs ID",IF(OR(C212="loan",C212="send_out"),IF(COUNTIF($L$2:$L$1001,B212)&gt;0,"Closed",IF(K212="","Open",IF(K212&lt;NOW(),"Overdue","Open"))),IF(C212="return",IF(OR(L212="",COUNTIF($B$2:$B$1001,L212)=0),"No match",IF(OR(M212="worn",M212="damaged"),"Quarantine","Returned")),IF(C212="issue","Issued",IF(C212="transfer","Moved",IF(C212="write_off","Written off",IF(C212="unfilled","Unfilled",""))))))))</f>
      </c>
      <c r="B212" s="31"/>
      <c r="C212" s="35"/>
      <c r="D212" s="33"/>
      <c r="E212" s="31"/>
      <c r="F212" s="31"/>
      <c r="G212" s="37">
        <f>IF(F212="","",IF(ISNA(MATCH(F212,'Item master'!$A$2:$A$301,0)),"Not in Item master",IFERROR(INDEX('Item master'!$B$2:$B$301,MATCH(F212,'Item master'!$A$2:$A$301,0))&amp;"","")))</f>
      </c>
      <c r="H212" s="34"/>
      <c r="I212" s="31"/>
      <c r="J212" s="31"/>
      <c r="K212" s="33"/>
      <c r="L212" s="31"/>
      <c r="M212" s="35"/>
      <c r="N212" s="30"/>
      <c r="O212" s="30"/>
      <c r="P212" s="36"/>
      <c r="Q212" s="38">
        <f>IF(OR(C212&lt;&gt;"loan",E212=""),"",IF(ISNA(MATCH(E212,Units!$A$2:$A$501,0)),"",IF(INDEX(Units!$E$2:$E$501,MATCH(E212,Units!$A$2:$A$501,0))="","",IF(K212="","No due date",IF(INT(K212)&gt;INDEX(Units!$E$2:$E$501,MATCH(E212,Units!$A$2:$A$501,0)),"Past cal date","OK")))))</f>
      </c>
      <c r="R212" s="37">
        <f>IF(A212="Overdue",K212+ROW()/10000000,"")</f>
      </c>
    </row>
    <row r="213">
      <c r="A213" s="38">
        <f>IF(C213="","",IF(B213="","Needs ID",IF(OR(C213="loan",C213="send_out"),IF(COUNTIF($L$2:$L$1001,B213)&gt;0,"Closed",IF(K213="","Open",IF(K213&lt;NOW(),"Overdue","Open"))),IF(C213="return",IF(OR(L213="",COUNTIF($B$2:$B$1001,L213)=0),"No match",IF(OR(M213="worn",M213="damaged"),"Quarantine","Returned")),IF(C213="issue","Issued",IF(C213="transfer","Moved",IF(C213="write_off","Written off",IF(C213="unfilled","Unfilled",""))))))))</f>
      </c>
      <c r="B213" s="31"/>
      <c r="C213" s="35"/>
      <c r="D213" s="33"/>
      <c r="E213" s="31"/>
      <c r="F213" s="31"/>
      <c r="G213" s="37">
        <f>IF(F213="","",IF(ISNA(MATCH(F213,'Item master'!$A$2:$A$301,0)),"Not in Item master",IFERROR(INDEX('Item master'!$B$2:$B$301,MATCH(F213,'Item master'!$A$2:$A$301,0))&amp;"","")))</f>
      </c>
      <c r="H213" s="34"/>
      <c r="I213" s="31"/>
      <c r="J213" s="31"/>
      <c r="K213" s="33"/>
      <c r="L213" s="31"/>
      <c r="M213" s="35"/>
      <c r="N213" s="30"/>
      <c r="O213" s="30"/>
      <c r="P213" s="36"/>
      <c r="Q213" s="38">
        <f>IF(OR(C213&lt;&gt;"loan",E213=""),"",IF(ISNA(MATCH(E213,Units!$A$2:$A$501,0)),"",IF(INDEX(Units!$E$2:$E$501,MATCH(E213,Units!$A$2:$A$501,0))="","",IF(K213="","No due date",IF(INT(K213)&gt;INDEX(Units!$E$2:$E$501,MATCH(E213,Units!$A$2:$A$501,0)),"Past cal date","OK")))))</f>
      </c>
      <c r="R213" s="37">
        <f>IF(A213="Overdue",K213+ROW()/10000000,"")</f>
      </c>
    </row>
    <row r="214">
      <c r="A214" s="38">
        <f>IF(C214="","",IF(B214="","Needs ID",IF(OR(C214="loan",C214="send_out"),IF(COUNTIF($L$2:$L$1001,B214)&gt;0,"Closed",IF(K214="","Open",IF(K214&lt;NOW(),"Overdue","Open"))),IF(C214="return",IF(OR(L214="",COUNTIF($B$2:$B$1001,L214)=0),"No match",IF(OR(M214="worn",M214="damaged"),"Quarantine","Returned")),IF(C214="issue","Issued",IF(C214="transfer","Moved",IF(C214="write_off","Written off",IF(C214="unfilled","Unfilled",""))))))))</f>
      </c>
      <c r="B214" s="31"/>
      <c r="C214" s="35"/>
      <c r="D214" s="33"/>
      <c r="E214" s="31"/>
      <c r="F214" s="31"/>
      <c r="G214" s="37">
        <f>IF(F214="","",IF(ISNA(MATCH(F214,'Item master'!$A$2:$A$301,0)),"Not in Item master",IFERROR(INDEX('Item master'!$B$2:$B$301,MATCH(F214,'Item master'!$A$2:$A$301,0))&amp;"","")))</f>
      </c>
      <c r="H214" s="34"/>
      <c r="I214" s="31"/>
      <c r="J214" s="31"/>
      <c r="K214" s="33"/>
      <c r="L214" s="31"/>
      <c r="M214" s="35"/>
      <c r="N214" s="30"/>
      <c r="O214" s="30"/>
      <c r="P214" s="36"/>
      <c r="Q214" s="38">
        <f>IF(OR(C214&lt;&gt;"loan",E214=""),"",IF(ISNA(MATCH(E214,Units!$A$2:$A$501,0)),"",IF(INDEX(Units!$E$2:$E$501,MATCH(E214,Units!$A$2:$A$501,0))="","",IF(K214="","No due date",IF(INT(K214)&gt;INDEX(Units!$E$2:$E$501,MATCH(E214,Units!$A$2:$A$501,0)),"Past cal date","OK")))))</f>
      </c>
      <c r="R214" s="37">
        <f>IF(A214="Overdue",K214+ROW()/10000000,"")</f>
      </c>
    </row>
    <row r="215">
      <c r="A215" s="38">
        <f>IF(C215="","",IF(B215="","Needs ID",IF(OR(C215="loan",C215="send_out"),IF(COUNTIF($L$2:$L$1001,B215)&gt;0,"Closed",IF(K215="","Open",IF(K215&lt;NOW(),"Overdue","Open"))),IF(C215="return",IF(OR(L215="",COUNTIF($B$2:$B$1001,L215)=0),"No match",IF(OR(M215="worn",M215="damaged"),"Quarantine","Returned")),IF(C215="issue","Issued",IF(C215="transfer","Moved",IF(C215="write_off","Written off",IF(C215="unfilled","Unfilled",""))))))))</f>
      </c>
      <c r="B215" s="31"/>
      <c r="C215" s="35"/>
      <c r="D215" s="33"/>
      <c r="E215" s="31"/>
      <c r="F215" s="31"/>
      <c r="G215" s="37">
        <f>IF(F215="","",IF(ISNA(MATCH(F215,'Item master'!$A$2:$A$301,0)),"Not in Item master",IFERROR(INDEX('Item master'!$B$2:$B$301,MATCH(F215,'Item master'!$A$2:$A$301,0))&amp;"","")))</f>
      </c>
      <c r="H215" s="34"/>
      <c r="I215" s="31"/>
      <c r="J215" s="31"/>
      <c r="K215" s="33"/>
      <c r="L215" s="31"/>
      <c r="M215" s="35"/>
      <c r="N215" s="30"/>
      <c r="O215" s="30"/>
      <c r="P215" s="36"/>
      <c r="Q215" s="38">
        <f>IF(OR(C215&lt;&gt;"loan",E215=""),"",IF(ISNA(MATCH(E215,Units!$A$2:$A$501,0)),"",IF(INDEX(Units!$E$2:$E$501,MATCH(E215,Units!$A$2:$A$501,0))="","",IF(K215="","No due date",IF(INT(K215)&gt;INDEX(Units!$E$2:$E$501,MATCH(E215,Units!$A$2:$A$501,0)),"Past cal date","OK")))))</f>
      </c>
      <c r="R215" s="37">
        <f>IF(A215="Overdue",K215+ROW()/10000000,"")</f>
      </c>
    </row>
    <row r="216">
      <c r="A216" s="38">
        <f>IF(C216="","",IF(B216="","Needs ID",IF(OR(C216="loan",C216="send_out"),IF(COUNTIF($L$2:$L$1001,B216)&gt;0,"Closed",IF(K216="","Open",IF(K216&lt;NOW(),"Overdue","Open"))),IF(C216="return",IF(OR(L216="",COUNTIF($B$2:$B$1001,L216)=0),"No match",IF(OR(M216="worn",M216="damaged"),"Quarantine","Returned")),IF(C216="issue","Issued",IF(C216="transfer","Moved",IF(C216="write_off","Written off",IF(C216="unfilled","Unfilled",""))))))))</f>
      </c>
      <c r="B216" s="31"/>
      <c r="C216" s="35"/>
      <c r="D216" s="33"/>
      <c r="E216" s="31"/>
      <c r="F216" s="31"/>
      <c r="G216" s="37">
        <f>IF(F216="","",IF(ISNA(MATCH(F216,'Item master'!$A$2:$A$301,0)),"Not in Item master",IFERROR(INDEX('Item master'!$B$2:$B$301,MATCH(F216,'Item master'!$A$2:$A$301,0))&amp;"","")))</f>
      </c>
      <c r="H216" s="34"/>
      <c r="I216" s="31"/>
      <c r="J216" s="31"/>
      <c r="K216" s="33"/>
      <c r="L216" s="31"/>
      <c r="M216" s="35"/>
      <c r="N216" s="30"/>
      <c r="O216" s="30"/>
      <c r="P216" s="36"/>
      <c r="Q216" s="38">
        <f>IF(OR(C216&lt;&gt;"loan",E216=""),"",IF(ISNA(MATCH(E216,Units!$A$2:$A$501,0)),"",IF(INDEX(Units!$E$2:$E$501,MATCH(E216,Units!$A$2:$A$501,0))="","",IF(K216="","No due date",IF(INT(K216)&gt;INDEX(Units!$E$2:$E$501,MATCH(E216,Units!$A$2:$A$501,0)),"Past cal date","OK")))))</f>
      </c>
      <c r="R216" s="37">
        <f>IF(A216="Overdue",K216+ROW()/10000000,"")</f>
      </c>
    </row>
    <row r="217">
      <c r="A217" s="38">
        <f>IF(C217="","",IF(B217="","Needs ID",IF(OR(C217="loan",C217="send_out"),IF(COUNTIF($L$2:$L$1001,B217)&gt;0,"Closed",IF(K217="","Open",IF(K217&lt;NOW(),"Overdue","Open"))),IF(C217="return",IF(OR(L217="",COUNTIF($B$2:$B$1001,L217)=0),"No match",IF(OR(M217="worn",M217="damaged"),"Quarantine","Returned")),IF(C217="issue","Issued",IF(C217="transfer","Moved",IF(C217="write_off","Written off",IF(C217="unfilled","Unfilled",""))))))))</f>
      </c>
      <c r="B217" s="31"/>
      <c r="C217" s="35"/>
      <c r="D217" s="33"/>
      <c r="E217" s="31"/>
      <c r="F217" s="31"/>
      <c r="G217" s="37">
        <f>IF(F217="","",IF(ISNA(MATCH(F217,'Item master'!$A$2:$A$301,0)),"Not in Item master",IFERROR(INDEX('Item master'!$B$2:$B$301,MATCH(F217,'Item master'!$A$2:$A$301,0))&amp;"","")))</f>
      </c>
      <c r="H217" s="34"/>
      <c r="I217" s="31"/>
      <c r="J217" s="31"/>
      <c r="K217" s="33"/>
      <c r="L217" s="31"/>
      <c r="M217" s="35"/>
      <c r="N217" s="30"/>
      <c r="O217" s="30"/>
      <c r="P217" s="36"/>
      <c r="Q217" s="38">
        <f>IF(OR(C217&lt;&gt;"loan",E217=""),"",IF(ISNA(MATCH(E217,Units!$A$2:$A$501,0)),"",IF(INDEX(Units!$E$2:$E$501,MATCH(E217,Units!$A$2:$A$501,0))="","",IF(K217="","No due date",IF(INT(K217)&gt;INDEX(Units!$E$2:$E$501,MATCH(E217,Units!$A$2:$A$501,0)),"Past cal date","OK")))))</f>
      </c>
      <c r="R217" s="37">
        <f>IF(A217="Overdue",K217+ROW()/10000000,"")</f>
      </c>
    </row>
    <row r="218">
      <c r="A218" s="38">
        <f>IF(C218="","",IF(B218="","Needs ID",IF(OR(C218="loan",C218="send_out"),IF(COUNTIF($L$2:$L$1001,B218)&gt;0,"Closed",IF(K218="","Open",IF(K218&lt;NOW(),"Overdue","Open"))),IF(C218="return",IF(OR(L218="",COUNTIF($B$2:$B$1001,L218)=0),"No match",IF(OR(M218="worn",M218="damaged"),"Quarantine","Returned")),IF(C218="issue","Issued",IF(C218="transfer","Moved",IF(C218="write_off","Written off",IF(C218="unfilled","Unfilled",""))))))))</f>
      </c>
      <c r="B218" s="31"/>
      <c r="C218" s="35"/>
      <c r="D218" s="33"/>
      <c r="E218" s="31"/>
      <c r="F218" s="31"/>
      <c r="G218" s="37">
        <f>IF(F218="","",IF(ISNA(MATCH(F218,'Item master'!$A$2:$A$301,0)),"Not in Item master",IFERROR(INDEX('Item master'!$B$2:$B$301,MATCH(F218,'Item master'!$A$2:$A$301,0))&amp;"","")))</f>
      </c>
      <c r="H218" s="34"/>
      <c r="I218" s="31"/>
      <c r="J218" s="31"/>
      <c r="K218" s="33"/>
      <c r="L218" s="31"/>
      <c r="M218" s="35"/>
      <c r="N218" s="30"/>
      <c r="O218" s="30"/>
      <c r="P218" s="36"/>
      <c r="Q218" s="38">
        <f>IF(OR(C218&lt;&gt;"loan",E218=""),"",IF(ISNA(MATCH(E218,Units!$A$2:$A$501,0)),"",IF(INDEX(Units!$E$2:$E$501,MATCH(E218,Units!$A$2:$A$501,0))="","",IF(K218="","No due date",IF(INT(K218)&gt;INDEX(Units!$E$2:$E$501,MATCH(E218,Units!$A$2:$A$501,0)),"Past cal date","OK")))))</f>
      </c>
      <c r="R218" s="37">
        <f>IF(A218="Overdue",K218+ROW()/10000000,"")</f>
      </c>
    </row>
    <row r="219">
      <c r="A219" s="38">
        <f>IF(C219="","",IF(B219="","Needs ID",IF(OR(C219="loan",C219="send_out"),IF(COUNTIF($L$2:$L$1001,B219)&gt;0,"Closed",IF(K219="","Open",IF(K219&lt;NOW(),"Overdue","Open"))),IF(C219="return",IF(OR(L219="",COUNTIF($B$2:$B$1001,L219)=0),"No match",IF(OR(M219="worn",M219="damaged"),"Quarantine","Returned")),IF(C219="issue","Issued",IF(C219="transfer","Moved",IF(C219="write_off","Written off",IF(C219="unfilled","Unfilled",""))))))))</f>
      </c>
      <c r="B219" s="31"/>
      <c r="C219" s="35"/>
      <c r="D219" s="33"/>
      <c r="E219" s="31"/>
      <c r="F219" s="31"/>
      <c r="G219" s="37">
        <f>IF(F219="","",IF(ISNA(MATCH(F219,'Item master'!$A$2:$A$301,0)),"Not in Item master",IFERROR(INDEX('Item master'!$B$2:$B$301,MATCH(F219,'Item master'!$A$2:$A$301,0))&amp;"","")))</f>
      </c>
      <c r="H219" s="34"/>
      <c r="I219" s="31"/>
      <c r="J219" s="31"/>
      <c r="K219" s="33"/>
      <c r="L219" s="31"/>
      <c r="M219" s="35"/>
      <c r="N219" s="30"/>
      <c r="O219" s="30"/>
      <c r="P219" s="36"/>
      <c r="Q219" s="38">
        <f>IF(OR(C219&lt;&gt;"loan",E219=""),"",IF(ISNA(MATCH(E219,Units!$A$2:$A$501,0)),"",IF(INDEX(Units!$E$2:$E$501,MATCH(E219,Units!$A$2:$A$501,0))="","",IF(K219="","No due date",IF(INT(K219)&gt;INDEX(Units!$E$2:$E$501,MATCH(E219,Units!$A$2:$A$501,0)),"Past cal date","OK")))))</f>
      </c>
      <c r="R219" s="37">
        <f>IF(A219="Overdue",K219+ROW()/10000000,"")</f>
      </c>
    </row>
    <row r="220">
      <c r="A220" s="38">
        <f>IF(C220="","",IF(B220="","Needs ID",IF(OR(C220="loan",C220="send_out"),IF(COUNTIF($L$2:$L$1001,B220)&gt;0,"Closed",IF(K220="","Open",IF(K220&lt;NOW(),"Overdue","Open"))),IF(C220="return",IF(OR(L220="",COUNTIF($B$2:$B$1001,L220)=0),"No match",IF(OR(M220="worn",M220="damaged"),"Quarantine","Returned")),IF(C220="issue","Issued",IF(C220="transfer","Moved",IF(C220="write_off","Written off",IF(C220="unfilled","Unfilled",""))))))))</f>
      </c>
      <c r="B220" s="31"/>
      <c r="C220" s="35"/>
      <c r="D220" s="33"/>
      <c r="E220" s="31"/>
      <c r="F220" s="31"/>
      <c r="G220" s="37">
        <f>IF(F220="","",IF(ISNA(MATCH(F220,'Item master'!$A$2:$A$301,0)),"Not in Item master",IFERROR(INDEX('Item master'!$B$2:$B$301,MATCH(F220,'Item master'!$A$2:$A$301,0))&amp;"","")))</f>
      </c>
      <c r="H220" s="34"/>
      <c r="I220" s="31"/>
      <c r="J220" s="31"/>
      <c r="K220" s="33"/>
      <c r="L220" s="31"/>
      <c r="M220" s="35"/>
      <c r="N220" s="30"/>
      <c r="O220" s="30"/>
      <c r="P220" s="36"/>
      <c r="Q220" s="38">
        <f>IF(OR(C220&lt;&gt;"loan",E220=""),"",IF(ISNA(MATCH(E220,Units!$A$2:$A$501,0)),"",IF(INDEX(Units!$E$2:$E$501,MATCH(E220,Units!$A$2:$A$501,0))="","",IF(K220="","No due date",IF(INT(K220)&gt;INDEX(Units!$E$2:$E$501,MATCH(E220,Units!$A$2:$A$501,0)),"Past cal date","OK")))))</f>
      </c>
      <c r="R220" s="37">
        <f>IF(A220="Overdue",K220+ROW()/10000000,"")</f>
      </c>
    </row>
    <row r="221">
      <c r="A221" s="38">
        <f>IF(C221="","",IF(B221="","Needs ID",IF(OR(C221="loan",C221="send_out"),IF(COUNTIF($L$2:$L$1001,B221)&gt;0,"Closed",IF(K221="","Open",IF(K221&lt;NOW(),"Overdue","Open"))),IF(C221="return",IF(OR(L221="",COUNTIF($B$2:$B$1001,L221)=0),"No match",IF(OR(M221="worn",M221="damaged"),"Quarantine","Returned")),IF(C221="issue","Issued",IF(C221="transfer","Moved",IF(C221="write_off","Written off",IF(C221="unfilled","Unfilled",""))))))))</f>
      </c>
      <c r="B221" s="31"/>
      <c r="C221" s="35"/>
      <c r="D221" s="33"/>
      <c r="E221" s="31"/>
      <c r="F221" s="31"/>
      <c r="G221" s="37">
        <f>IF(F221="","",IF(ISNA(MATCH(F221,'Item master'!$A$2:$A$301,0)),"Not in Item master",IFERROR(INDEX('Item master'!$B$2:$B$301,MATCH(F221,'Item master'!$A$2:$A$301,0))&amp;"","")))</f>
      </c>
      <c r="H221" s="34"/>
      <c r="I221" s="31"/>
      <c r="J221" s="31"/>
      <c r="K221" s="33"/>
      <c r="L221" s="31"/>
      <c r="M221" s="35"/>
      <c r="N221" s="30"/>
      <c r="O221" s="30"/>
      <c r="P221" s="36"/>
      <c r="Q221" s="38">
        <f>IF(OR(C221&lt;&gt;"loan",E221=""),"",IF(ISNA(MATCH(E221,Units!$A$2:$A$501,0)),"",IF(INDEX(Units!$E$2:$E$501,MATCH(E221,Units!$A$2:$A$501,0))="","",IF(K221="","No due date",IF(INT(K221)&gt;INDEX(Units!$E$2:$E$501,MATCH(E221,Units!$A$2:$A$501,0)),"Past cal date","OK")))))</f>
      </c>
      <c r="R221" s="37">
        <f>IF(A221="Overdue",K221+ROW()/10000000,"")</f>
      </c>
    </row>
    <row r="222">
      <c r="A222" s="38">
        <f>IF(C222="","",IF(B222="","Needs ID",IF(OR(C222="loan",C222="send_out"),IF(COUNTIF($L$2:$L$1001,B222)&gt;0,"Closed",IF(K222="","Open",IF(K222&lt;NOW(),"Overdue","Open"))),IF(C222="return",IF(OR(L222="",COUNTIF($B$2:$B$1001,L222)=0),"No match",IF(OR(M222="worn",M222="damaged"),"Quarantine","Returned")),IF(C222="issue","Issued",IF(C222="transfer","Moved",IF(C222="write_off","Written off",IF(C222="unfilled","Unfilled",""))))))))</f>
      </c>
      <c r="B222" s="31"/>
      <c r="C222" s="35"/>
      <c r="D222" s="33"/>
      <c r="E222" s="31"/>
      <c r="F222" s="31"/>
      <c r="G222" s="37">
        <f>IF(F222="","",IF(ISNA(MATCH(F222,'Item master'!$A$2:$A$301,0)),"Not in Item master",IFERROR(INDEX('Item master'!$B$2:$B$301,MATCH(F222,'Item master'!$A$2:$A$301,0))&amp;"","")))</f>
      </c>
      <c r="H222" s="34"/>
      <c r="I222" s="31"/>
      <c r="J222" s="31"/>
      <c r="K222" s="33"/>
      <c r="L222" s="31"/>
      <c r="M222" s="35"/>
      <c r="N222" s="30"/>
      <c r="O222" s="30"/>
      <c r="P222" s="36"/>
      <c r="Q222" s="38">
        <f>IF(OR(C222&lt;&gt;"loan",E222=""),"",IF(ISNA(MATCH(E222,Units!$A$2:$A$501,0)),"",IF(INDEX(Units!$E$2:$E$501,MATCH(E222,Units!$A$2:$A$501,0))="","",IF(K222="","No due date",IF(INT(K222)&gt;INDEX(Units!$E$2:$E$501,MATCH(E222,Units!$A$2:$A$501,0)),"Past cal date","OK")))))</f>
      </c>
      <c r="R222" s="37">
        <f>IF(A222="Overdue",K222+ROW()/10000000,"")</f>
      </c>
    </row>
    <row r="223">
      <c r="A223" s="38">
        <f>IF(C223="","",IF(B223="","Needs ID",IF(OR(C223="loan",C223="send_out"),IF(COUNTIF($L$2:$L$1001,B223)&gt;0,"Closed",IF(K223="","Open",IF(K223&lt;NOW(),"Overdue","Open"))),IF(C223="return",IF(OR(L223="",COUNTIF($B$2:$B$1001,L223)=0),"No match",IF(OR(M223="worn",M223="damaged"),"Quarantine","Returned")),IF(C223="issue","Issued",IF(C223="transfer","Moved",IF(C223="write_off","Written off",IF(C223="unfilled","Unfilled",""))))))))</f>
      </c>
      <c r="B223" s="31"/>
      <c r="C223" s="35"/>
      <c r="D223" s="33"/>
      <c r="E223" s="31"/>
      <c r="F223" s="31"/>
      <c r="G223" s="37">
        <f>IF(F223="","",IF(ISNA(MATCH(F223,'Item master'!$A$2:$A$301,0)),"Not in Item master",IFERROR(INDEX('Item master'!$B$2:$B$301,MATCH(F223,'Item master'!$A$2:$A$301,0))&amp;"","")))</f>
      </c>
      <c r="H223" s="34"/>
      <c r="I223" s="31"/>
      <c r="J223" s="31"/>
      <c r="K223" s="33"/>
      <c r="L223" s="31"/>
      <c r="M223" s="35"/>
      <c r="N223" s="30"/>
      <c r="O223" s="30"/>
      <c r="P223" s="36"/>
      <c r="Q223" s="38">
        <f>IF(OR(C223&lt;&gt;"loan",E223=""),"",IF(ISNA(MATCH(E223,Units!$A$2:$A$501,0)),"",IF(INDEX(Units!$E$2:$E$501,MATCH(E223,Units!$A$2:$A$501,0))="","",IF(K223="","No due date",IF(INT(K223)&gt;INDEX(Units!$E$2:$E$501,MATCH(E223,Units!$A$2:$A$501,0)),"Past cal date","OK")))))</f>
      </c>
      <c r="R223" s="37">
        <f>IF(A223="Overdue",K223+ROW()/10000000,"")</f>
      </c>
    </row>
    <row r="224">
      <c r="A224" s="38">
        <f>IF(C224="","",IF(B224="","Needs ID",IF(OR(C224="loan",C224="send_out"),IF(COUNTIF($L$2:$L$1001,B224)&gt;0,"Closed",IF(K224="","Open",IF(K224&lt;NOW(),"Overdue","Open"))),IF(C224="return",IF(OR(L224="",COUNTIF($B$2:$B$1001,L224)=0),"No match",IF(OR(M224="worn",M224="damaged"),"Quarantine","Returned")),IF(C224="issue","Issued",IF(C224="transfer","Moved",IF(C224="write_off","Written off",IF(C224="unfilled","Unfilled",""))))))))</f>
      </c>
      <c r="B224" s="31"/>
      <c r="C224" s="35"/>
      <c r="D224" s="33"/>
      <c r="E224" s="31"/>
      <c r="F224" s="31"/>
      <c r="G224" s="37">
        <f>IF(F224="","",IF(ISNA(MATCH(F224,'Item master'!$A$2:$A$301,0)),"Not in Item master",IFERROR(INDEX('Item master'!$B$2:$B$301,MATCH(F224,'Item master'!$A$2:$A$301,0))&amp;"","")))</f>
      </c>
      <c r="H224" s="34"/>
      <c r="I224" s="31"/>
      <c r="J224" s="31"/>
      <c r="K224" s="33"/>
      <c r="L224" s="31"/>
      <c r="M224" s="35"/>
      <c r="N224" s="30"/>
      <c r="O224" s="30"/>
      <c r="P224" s="36"/>
      <c r="Q224" s="38">
        <f>IF(OR(C224&lt;&gt;"loan",E224=""),"",IF(ISNA(MATCH(E224,Units!$A$2:$A$501,0)),"",IF(INDEX(Units!$E$2:$E$501,MATCH(E224,Units!$A$2:$A$501,0))="","",IF(K224="","No due date",IF(INT(K224)&gt;INDEX(Units!$E$2:$E$501,MATCH(E224,Units!$A$2:$A$501,0)),"Past cal date","OK")))))</f>
      </c>
      <c r="R224" s="37">
        <f>IF(A224="Overdue",K224+ROW()/10000000,"")</f>
      </c>
    </row>
    <row r="225">
      <c r="A225" s="38">
        <f>IF(C225="","",IF(B225="","Needs ID",IF(OR(C225="loan",C225="send_out"),IF(COUNTIF($L$2:$L$1001,B225)&gt;0,"Closed",IF(K225="","Open",IF(K225&lt;NOW(),"Overdue","Open"))),IF(C225="return",IF(OR(L225="",COUNTIF($B$2:$B$1001,L225)=0),"No match",IF(OR(M225="worn",M225="damaged"),"Quarantine","Returned")),IF(C225="issue","Issued",IF(C225="transfer","Moved",IF(C225="write_off","Written off",IF(C225="unfilled","Unfilled",""))))))))</f>
      </c>
      <c r="B225" s="31"/>
      <c r="C225" s="35"/>
      <c r="D225" s="33"/>
      <c r="E225" s="31"/>
      <c r="F225" s="31"/>
      <c r="G225" s="37">
        <f>IF(F225="","",IF(ISNA(MATCH(F225,'Item master'!$A$2:$A$301,0)),"Not in Item master",IFERROR(INDEX('Item master'!$B$2:$B$301,MATCH(F225,'Item master'!$A$2:$A$301,0))&amp;"","")))</f>
      </c>
      <c r="H225" s="34"/>
      <c r="I225" s="31"/>
      <c r="J225" s="31"/>
      <c r="K225" s="33"/>
      <c r="L225" s="31"/>
      <c r="M225" s="35"/>
      <c r="N225" s="30"/>
      <c r="O225" s="30"/>
      <c r="P225" s="36"/>
      <c r="Q225" s="38">
        <f>IF(OR(C225&lt;&gt;"loan",E225=""),"",IF(ISNA(MATCH(E225,Units!$A$2:$A$501,0)),"",IF(INDEX(Units!$E$2:$E$501,MATCH(E225,Units!$A$2:$A$501,0))="","",IF(K225="","No due date",IF(INT(K225)&gt;INDEX(Units!$E$2:$E$501,MATCH(E225,Units!$A$2:$A$501,0)),"Past cal date","OK")))))</f>
      </c>
      <c r="R225" s="37">
        <f>IF(A225="Overdue",K225+ROW()/10000000,"")</f>
      </c>
    </row>
    <row r="226">
      <c r="A226" s="38">
        <f>IF(C226="","",IF(B226="","Needs ID",IF(OR(C226="loan",C226="send_out"),IF(COUNTIF($L$2:$L$1001,B226)&gt;0,"Closed",IF(K226="","Open",IF(K226&lt;NOW(),"Overdue","Open"))),IF(C226="return",IF(OR(L226="",COUNTIF($B$2:$B$1001,L226)=0),"No match",IF(OR(M226="worn",M226="damaged"),"Quarantine","Returned")),IF(C226="issue","Issued",IF(C226="transfer","Moved",IF(C226="write_off","Written off",IF(C226="unfilled","Unfilled",""))))))))</f>
      </c>
      <c r="B226" s="31"/>
      <c r="C226" s="35"/>
      <c r="D226" s="33"/>
      <c r="E226" s="31"/>
      <c r="F226" s="31"/>
      <c r="G226" s="37">
        <f>IF(F226="","",IF(ISNA(MATCH(F226,'Item master'!$A$2:$A$301,0)),"Not in Item master",IFERROR(INDEX('Item master'!$B$2:$B$301,MATCH(F226,'Item master'!$A$2:$A$301,0))&amp;"","")))</f>
      </c>
      <c r="H226" s="34"/>
      <c r="I226" s="31"/>
      <c r="J226" s="31"/>
      <c r="K226" s="33"/>
      <c r="L226" s="31"/>
      <c r="M226" s="35"/>
      <c r="N226" s="30"/>
      <c r="O226" s="30"/>
      <c r="P226" s="36"/>
      <c r="Q226" s="38">
        <f>IF(OR(C226&lt;&gt;"loan",E226=""),"",IF(ISNA(MATCH(E226,Units!$A$2:$A$501,0)),"",IF(INDEX(Units!$E$2:$E$501,MATCH(E226,Units!$A$2:$A$501,0))="","",IF(K226="","No due date",IF(INT(K226)&gt;INDEX(Units!$E$2:$E$501,MATCH(E226,Units!$A$2:$A$501,0)),"Past cal date","OK")))))</f>
      </c>
      <c r="R226" s="37">
        <f>IF(A226="Overdue",K226+ROW()/10000000,"")</f>
      </c>
    </row>
    <row r="227">
      <c r="A227" s="38">
        <f>IF(C227="","",IF(B227="","Needs ID",IF(OR(C227="loan",C227="send_out"),IF(COUNTIF($L$2:$L$1001,B227)&gt;0,"Closed",IF(K227="","Open",IF(K227&lt;NOW(),"Overdue","Open"))),IF(C227="return",IF(OR(L227="",COUNTIF($B$2:$B$1001,L227)=0),"No match",IF(OR(M227="worn",M227="damaged"),"Quarantine","Returned")),IF(C227="issue","Issued",IF(C227="transfer","Moved",IF(C227="write_off","Written off",IF(C227="unfilled","Unfilled",""))))))))</f>
      </c>
      <c r="B227" s="31"/>
      <c r="C227" s="35"/>
      <c r="D227" s="33"/>
      <c r="E227" s="31"/>
      <c r="F227" s="31"/>
      <c r="G227" s="37">
        <f>IF(F227="","",IF(ISNA(MATCH(F227,'Item master'!$A$2:$A$301,0)),"Not in Item master",IFERROR(INDEX('Item master'!$B$2:$B$301,MATCH(F227,'Item master'!$A$2:$A$301,0))&amp;"","")))</f>
      </c>
      <c r="H227" s="34"/>
      <c r="I227" s="31"/>
      <c r="J227" s="31"/>
      <c r="K227" s="33"/>
      <c r="L227" s="31"/>
      <c r="M227" s="35"/>
      <c r="N227" s="30"/>
      <c r="O227" s="30"/>
      <c r="P227" s="36"/>
      <c r="Q227" s="38">
        <f>IF(OR(C227&lt;&gt;"loan",E227=""),"",IF(ISNA(MATCH(E227,Units!$A$2:$A$501,0)),"",IF(INDEX(Units!$E$2:$E$501,MATCH(E227,Units!$A$2:$A$501,0))="","",IF(K227="","No due date",IF(INT(K227)&gt;INDEX(Units!$E$2:$E$501,MATCH(E227,Units!$A$2:$A$501,0)),"Past cal date","OK")))))</f>
      </c>
      <c r="R227" s="37">
        <f>IF(A227="Overdue",K227+ROW()/10000000,"")</f>
      </c>
    </row>
    <row r="228">
      <c r="A228" s="38">
        <f>IF(C228="","",IF(B228="","Needs ID",IF(OR(C228="loan",C228="send_out"),IF(COUNTIF($L$2:$L$1001,B228)&gt;0,"Closed",IF(K228="","Open",IF(K228&lt;NOW(),"Overdue","Open"))),IF(C228="return",IF(OR(L228="",COUNTIF($B$2:$B$1001,L228)=0),"No match",IF(OR(M228="worn",M228="damaged"),"Quarantine","Returned")),IF(C228="issue","Issued",IF(C228="transfer","Moved",IF(C228="write_off","Written off",IF(C228="unfilled","Unfilled",""))))))))</f>
      </c>
      <c r="B228" s="31"/>
      <c r="C228" s="35"/>
      <c r="D228" s="33"/>
      <c r="E228" s="31"/>
      <c r="F228" s="31"/>
      <c r="G228" s="37">
        <f>IF(F228="","",IF(ISNA(MATCH(F228,'Item master'!$A$2:$A$301,0)),"Not in Item master",IFERROR(INDEX('Item master'!$B$2:$B$301,MATCH(F228,'Item master'!$A$2:$A$301,0))&amp;"","")))</f>
      </c>
      <c r="H228" s="34"/>
      <c r="I228" s="31"/>
      <c r="J228" s="31"/>
      <c r="K228" s="33"/>
      <c r="L228" s="31"/>
      <c r="M228" s="35"/>
      <c r="N228" s="30"/>
      <c r="O228" s="30"/>
      <c r="P228" s="36"/>
      <c r="Q228" s="38">
        <f>IF(OR(C228&lt;&gt;"loan",E228=""),"",IF(ISNA(MATCH(E228,Units!$A$2:$A$501,0)),"",IF(INDEX(Units!$E$2:$E$501,MATCH(E228,Units!$A$2:$A$501,0))="","",IF(K228="","No due date",IF(INT(K228)&gt;INDEX(Units!$E$2:$E$501,MATCH(E228,Units!$A$2:$A$501,0)),"Past cal date","OK")))))</f>
      </c>
      <c r="R228" s="37">
        <f>IF(A228="Overdue",K228+ROW()/10000000,"")</f>
      </c>
    </row>
    <row r="229">
      <c r="A229" s="38">
        <f>IF(C229="","",IF(B229="","Needs ID",IF(OR(C229="loan",C229="send_out"),IF(COUNTIF($L$2:$L$1001,B229)&gt;0,"Closed",IF(K229="","Open",IF(K229&lt;NOW(),"Overdue","Open"))),IF(C229="return",IF(OR(L229="",COUNTIF($B$2:$B$1001,L229)=0),"No match",IF(OR(M229="worn",M229="damaged"),"Quarantine","Returned")),IF(C229="issue","Issued",IF(C229="transfer","Moved",IF(C229="write_off","Written off",IF(C229="unfilled","Unfilled",""))))))))</f>
      </c>
      <c r="B229" s="31"/>
      <c r="C229" s="35"/>
      <c r="D229" s="33"/>
      <c r="E229" s="31"/>
      <c r="F229" s="31"/>
      <c r="G229" s="37">
        <f>IF(F229="","",IF(ISNA(MATCH(F229,'Item master'!$A$2:$A$301,0)),"Not in Item master",IFERROR(INDEX('Item master'!$B$2:$B$301,MATCH(F229,'Item master'!$A$2:$A$301,0))&amp;"","")))</f>
      </c>
      <c r="H229" s="34"/>
      <c r="I229" s="31"/>
      <c r="J229" s="31"/>
      <c r="K229" s="33"/>
      <c r="L229" s="31"/>
      <c r="M229" s="35"/>
      <c r="N229" s="30"/>
      <c r="O229" s="30"/>
      <c r="P229" s="36"/>
      <c r="Q229" s="38">
        <f>IF(OR(C229&lt;&gt;"loan",E229=""),"",IF(ISNA(MATCH(E229,Units!$A$2:$A$501,0)),"",IF(INDEX(Units!$E$2:$E$501,MATCH(E229,Units!$A$2:$A$501,0))="","",IF(K229="","No due date",IF(INT(K229)&gt;INDEX(Units!$E$2:$E$501,MATCH(E229,Units!$A$2:$A$501,0)),"Past cal date","OK")))))</f>
      </c>
      <c r="R229" s="37">
        <f>IF(A229="Overdue",K229+ROW()/10000000,"")</f>
      </c>
    </row>
    <row r="230">
      <c r="A230" s="38">
        <f>IF(C230="","",IF(B230="","Needs ID",IF(OR(C230="loan",C230="send_out"),IF(COUNTIF($L$2:$L$1001,B230)&gt;0,"Closed",IF(K230="","Open",IF(K230&lt;NOW(),"Overdue","Open"))),IF(C230="return",IF(OR(L230="",COUNTIF($B$2:$B$1001,L230)=0),"No match",IF(OR(M230="worn",M230="damaged"),"Quarantine","Returned")),IF(C230="issue","Issued",IF(C230="transfer","Moved",IF(C230="write_off","Written off",IF(C230="unfilled","Unfilled",""))))))))</f>
      </c>
      <c r="B230" s="31"/>
      <c r="C230" s="35"/>
      <c r="D230" s="33"/>
      <c r="E230" s="31"/>
      <c r="F230" s="31"/>
      <c r="G230" s="37">
        <f>IF(F230="","",IF(ISNA(MATCH(F230,'Item master'!$A$2:$A$301,0)),"Not in Item master",IFERROR(INDEX('Item master'!$B$2:$B$301,MATCH(F230,'Item master'!$A$2:$A$301,0))&amp;"","")))</f>
      </c>
      <c r="H230" s="34"/>
      <c r="I230" s="31"/>
      <c r="J230" s="31"/>
      <c r="K230" s="33"/>
      <c r="L230" s="31"/>
      <c r="M230" s="35"/>
      <c r="N230" s="30"/>
      <c r="O230" s="30"/>
      <c r="P230" s="36"/>
      <c r="Q230" s="38">
        <f>IF(OR(C230&lt;&gt;"loan",E230=""),"",IF(ISNA(MATCH(E230,Units!$A$2:$A$501,0)),"",IF(INDEX(Units!$E$2:$E$501,MATCH(E230,Units!$A$2:$A$501,0))="","",IF(K230="","No due date",IF(INT(K230)&gt;INDEX(Units!$E$2:$E$501,MATCH(E230,Units!$A$2:$A$501,0)),"Past cal date","OK")))))</f>
      </c>
      <c r="R230" s="37">
        <f>IF(A230="Overdue",K230+ROW()/10000000,"")</f>
      </c>
    </row>
    <row r="231">
      <c r="A231" s="38">
        <f>IF(C231="","",IF(B231="","Needs ID",IF(OR(C231="loan",C231="send_out"),IF(COUNTIF($L$2:$L$1001,B231)&gt;0,"Closed",IF(K231="","Open",IF(K231&lt;NOW(),"Overdue","Open"))),IF(C231="return",IF(OR(L231="",COUNTIF($B$2:$B$1001,L231)=0),"No match",IF(OR(M231="worn",M231="damaged"),"Quarantine","Returned")),IF(C231="issue","Issued",IF(C231="transfer","Moved",IF(C231="write_off","Written off",IF(C231="unfilled","Unfilled",""))))))))</f>
      </c>
      <c r="B231" s="31"/>
      <c r="C231" s="35"/>
      <c r="D231" s="33"/>
      <c r="E231" s="31"/>
      <c r="F231" s="31"/>
      <c r="G231" s="37">
        <f>IF(F231="","",IF(ISNA(MATCH(F231,'Item master'!$A$2:$A$301,0)),"Not in Item master",IFERROR(INDEX('Item master'!$B$2:$B$301,MATCH(F231,'Item master'!$A$2:$A$301,0))&amp;"","")))</f>
      </c>
      <c r="H231" s="34"/>
      <c r="I231" s="31"/>
      <c r="J231" s="31"/>
      <c r="K231" s="33"/>
      <c r="L231" s="31"/>
      <c r="M231" s="35"/>
      <c r="N231" s="30"/>
      <c r="O231" s="30"/>
      <c r="P231" s="36"/>
      <c r="Q231" s="38">
        <f>IF(OR(C231&lt;&gt;"loan",E231=""),"",IF(ISNA(MATCH(E231,Units!$A$2:$A$501,0)),"",IF(INDEX(Units!$E$2:$E$501,MATCH(E231,Units!$A$2:$A$501,0))="","",IF(K231="","No due date",IF(INT(K231)&gt;INDEX(Units!$E$2:$E$501,MATCH(E231,Units!$A$2:$A$501,0)),"Past cal date","OK")))))</f>
      </c>
      <c r="R231" s="37">
        <f>IF(A231="Overdue",K231+ROW()/10000000,"")</f>
      </c>
    </row>
    <row r="232">
      <c r="A232" s="38">
        <f>IF(C232="","",IF(B232="","Needs ID",IF(OR(C232="loan",C232="send_out"),IF(COUNTIF($L$2:$L$1001,B232)&gt;0,"Closed",IF(K232="","Open",IF(K232&lt;NOW(),"Overdue","Open"))),IF(C232="return",IF(OR(L232="",COUNTIF($B$2:$B$1001,L232)=0),"No match",IF(OR(M232="worn",M232="damaged"),"Quarantine","Returned")),IF(C232="issue","Issued",IF(C232="transfer","Moved",IF(C232="write_off","Written off",IF(C232="unfilled","Unfilled",""))))))))</f>
      </c>
      <c r="B232" s="31"/>
      <c r="C232" s="35"/>
      <c r="D232" s="33"/>
      <c r="E232" s="31"/>
      <c r="F232" s="31"/>
      <c r="G232" s="37">
        <f>IF(F232="","",IF(ISNA(MATCH(F232,'Item master'!$A$2:$A$301,0)),"Not in Item master",IFERROR(INDEX('Item master'!$B$2:$B$301,MATCH(F232,'Item master'!$A$2:$A$301,0))&amp;"","")))</f>
      </c>
      <c r="H232" s="34"/>
      <c r="I232" s="31"/>
      <c r="J232" s="31"/>
      <c r="K232" s="33"/>
      <c r="L232" s="31"/>
      <c r="M232" s="35"/>
      <c r="N232" s="30"/>
      <c r="O232" s="30"/>
      <c r="P232" s="36"/>
      <c r="Q232" s="38">
        <f>IF(OR(C232&lt;&gt;"loan",E232=""),"",IF(ISNA(MATCH(E232,Units!$A$2:$A$501,0)),"",IF(INDEX(Units!$E$2:$E$501,MATCH(E232,Units!$A$2:$A$501,0))="","",IF(K232="","No due date",IF(INT(K232)&gt;INDEX(Units!$E$2:$E$501,MATCH(E232,Units!$A$2:$A$501,0)),"Past cal date","OK")))))</f>
      </c>
      <c r="R232" s="37">
        <f>IF(A232="Overdue",K232+ROW()/10000000,"")</f>
      </c>
    </row>
    <row r="233">
      <c r="A233" s="38">
        <f>IF(C233="","",IF(B233="","Needs ID",IF(OR(C233="loan",C233="send_out"),IF(COUNTIF($L$2:$L$1001,B233)&gt;0,"Closed",IF(K233="","Open",IF(K233&lt;NOW(),"Overdue","Open"))),IF(C233="return",IF(OR(L233="",COUNTIF($B$2:$B$1001,L233)=0),"No match",IF(OR(M233="worn",M233="damaged"),"Quarantine","Returned")),IF(C233="issue","Issued",IF(C233="transfer","Moved",IF(C233="write_off","Written off",IF(C233="unfilled","Unfilled",""))))))))</f>
      </c>
      <c r="B233" s="31"/>
      <c r="C233" s="35"/>
      <c r="D233" s="33"/>
      <c r="E233" s="31"/>
      <c r="F233" s="31"/>
      <c r="G233" s="37">
        <f>IF(F233="","",IF(ISNA(MATCH(F233,'Item master'!$A$2:$A$301,0)),"Not in Item master",IFERROR(INDEX('Item master'!$B$2:$B$301,MATCH(F233,'Item master'!$A$2:$A$301,0))&amp;"","")))</f>
      </c>
      <c r="H233" s="34"/>
      <c r="I233" s="31"/>
      <c r="J233" s="31"/>
      <c r="K233" s="33"/>
      <c r="L233" s="31"/>
      <c r="M233" s="35"/>
      <c r="N233" s="30"/>
      <c r="O233" s="30"/>
      <c r="P233" s="36"/>
      <c r="Q233" s="38">
        <f>IF(OR(C233&lt;&gt;"loan",E233=""),"",IF(ISNA(MATCH(E233,Units!$A$2:$A$501,0)),"",IF(INDEX(Units!$E$2:$E$501,MATCH(E233,Units!$A$2:$A$501,0))="","",IF(K233="","No due date",IF(INT(K233)&gt;INDEX(Units!$E$2:$E$501,MATCH(E233,Units!$A$2:$A$501,0)),"Past cal date","OK")))))</f>
      </c>
      <c r="R233" s="37">
        <f>IF(A233="Overdue",K233+ROW()/10000000,"")</f>
      </c>
    </row>
    <row r="234">
      <c r="A234" s="38">
        <f>IF(C234="","",IF(B234="","Needs ID",IF(OR(C234="loan",C234="send_out"),IF(COUNTIF($L$2:$L$1001,B234)&gt;0,"Closed",IF(K234="","Open",IF(K234&lt;NOW(),"Overdue","Open"))),IF(C234="return",IF(OR(L234="",COUNTIF($B$2:$B$1001,L234)=0),"No match",IF(OR(M234="worn",M234="damaged"),"Quarantine","Returned")),IF(C234="issue","Issued",IF(C234="transfer","Moved",IF(C234="write_off","Written off",IF(C234="unfilled","Unfilled",""))))))))</f>
      </c>
      <c r="B234" s="31"/>
      <c r="C234" s="35"/>
      <c r="D234" s="33"/>
      <c r="E234" s="31"/>
      <c r="F234" s="31"/>
      <c r="G234" s="37">
        <f>IF(F234="","",IF(ISNA(MATCH(F234,'Item master'!$A$2:$A$301,0)),"Not in Item master",IFERROR(INDEX('Item master'!$B$2:$B$301,MATCH(F234,'Item master'!$A$2:$A$301,0))&amp;"","")))</f>
      </c>
      <c r="H234" s="34"/>
      <c r="I234" s="31"/>
      <c r="J234" s="31"/>
      <c r="K234" s="33"/>
      <c r="L234" s="31"/>
      <c r="M234" s="35"/>
      <c r="N234" s="30"/>
      <c r="O234" s="30"/>
      <c r="P234" s="36"/>
      <c r="Q234" s="38">
        <f>IF(OR(C234&lt;&gt;"loan",E234=""),"",IF(ISNA(MATCH(E234,Units!$A$2:$A$501,0)),"",IF(INDEX(Units!$E$2:$E$501,MATCH(E234,Units!$A$2:$A$501,0))="","",IF(K234="","No due date",IF(INT(K234)&gt;INDEX(Units!$E$2:$E$501,MATCH(E234,Units!$A$2:$A$501,0)),"Past cal date","OK")))))</f>
      </c>
      <c r="R234" s="37">
        <f>IF(A234="Overdue",K234+ROW()/10000000,"")</f>
      </c>
    </row>
    <row r="235">
      <c r="A235" s="38">
        <f>IF(C235="","",IF(B235="","Needs ID",IF(OR(C235="loan",C235="send_out"),IF(COUNTIF($L$2:$L$1001,B235)&gt;0,"Closed",IF(K235="","Open",IF(K235&lt;NOW(),"Overdue","Open"))),IF(C235="return",IF(OR(L235="",COUNTIF($B$2:$B$1001,L235)=0),"No match",IF(OR(M235="worn",M235="damaged"),"Quarantine","Returned")),IF(C235="issue","Issued",IF(C235="transfer","Moved",IF(C235="write_off","Written off",IF(C235="unfilled","Unfilled",""))))))))</f>
      </c>
      <c r="B235" s="31"/>
      <c r="C235" s="35"/>
      <c r="D235" s="33"/>
      <c r="E235" s="31"/>
      <c r="F235" s="31"/>
      <c r="G235" s="37">
        <f>IF(F235="","",IF(ISNA(MATCH(F235,'Item master'!$A$2:$A$301,0)),"Not in Item master",IFERROR(INDEX('Item master'!$B$2:$B$301,MATCH(F235,'Item master'!$A$2:$A$301,0))&amp;"","")))</f>
      </c>
      <c r="H235" s="34"/>
      <c r="I235" s="31"/>
      <c r="J235" s="31"/>
      <c r="K235" s="33"/>
      <c r="L235" s="31"/>
      <c r="M235" s="35"/>
      <c r="N235" s="30"/>
      <c r="O235" s="30"/>
      <c r="P235" s="36"/>
      <c r="Q235" s="38">
        <f>IF(OR(C235&lt;&gt;"loan",E235=""),"",IF(ISNA(MATCH(E235,Units!$A$2:$A$501,0)),"",IF(INDEX(Units!$E$2:$E$501,MATCH(E235,Units!$A$2:$A$501,0))="","",IF(K235="","No due date",IF(INT(K235)&gt;INDEX(Units!$E$2:$E$501,MATCH(E235,Units!$A$2:$A$501,0)),"Past cal date","OK")))))</f>
      </c>
      <c r="R235" s="37">
        <f>IF(A235="Overdue",K235+ROW()/10000000,"")</f>
      </c>
    </row>
    <row r="236">
      <c r="A236" s="38">
        <f>IF(C236="","",IF(B236="","Needs ID",IF(OR(C236="loan",C236="send_out"),IF(COUNTIF($L$2:$L$1001,B236)&gt;0,"Closed",IF(K236="","Open",IF(K236&lt;NOW(),"Overdue","Open"))),IF(C236="return",IF(OR(L236="",COUNTIF($B$2:$B$1001,L236)=0),"No match",IF(OR(M236="worn",M236="damaged"),"Quarantine","Returned")),IF(C236="issue","Issued",IF(C236="transfer","Moved",IF(C236="write_off","Written off",IF(C236="unfilled","Unfilled",""))))))))</f>
      </c>
      <c r="B236" s="31"/>
      <c r="C236" s="35"/>
      <c r="D236" s="33"/>
      <c r="E236" s="31"/>
      <c r="F236" s="31"/>
      <c r="G236" s="37">
        <f>IF(F236="","",IF(ISNA(MATCH(F236,'Item master'!$A$2:$A$301,0)),"Not in Item master",IFERROR(INDEX('Item master'!$B$2:$B$301,MATCH(F236,'Item master'!$A$2:$A$301,0))&amp;"","")))</f>
      </c>
      <c r="H236" s="34"/>
      <c r="I236" s="31"/>
      <c r="J236" s="31"/>
      <c r="K236" s="33"/>
      <c r="L236" s="31"/>
      <c r="M236" s="35"/>
      <c r="N236" s="30"/>
      <c r="O236" s="30"/>
      <c r="P236" s="36"/>
      <c r="Q236" s="38">
        <f>IF(OR(C236&lt;&gt;"loan",E236=""),"",IF(ISNA(MATCH(E236,Units!$A$2:$A$501,0)),"",IF(INDEX(Units!$E$2:$E$501,MATCH(E236,Units!$A$2:$A$501,0))="","",IF(K236="","No due date",IF(INT(K236)&gt;INDEX(Units!$E$2:$E$501,MATCH(E236,Units!$A$2:$A$501,0)),"Past cal date","OK")))))</f>
      </c>
      <c r="R236" s="37">
        <f>IF(A236="Overdue",K236+ROW()/10000000,"")</f>
      </c>
    </row>
    <row r="237">
      <c r="A237" s="38">
        <f>IF(C237="","",IF(B237="","Needs ID",IF(OR(C237="loan",C237="send_out"),IF(COUNTIF($L$2:$L$1001,B237)&gt;0,"Closed",IF(K237="","Open",IF(K237&lt;NOW(),"Overdue","Open"))),IF(C237="return",IF(OR(L237="",COUNTIF($B$2:$B$1001,L237)=0),"No match",IF(OR(M237="worn",M237="damaged"),"Quarantine","Returned")),IF(C237="issue","Issued",IF(C237="transfer","Moved",IF(C237="write_off","Written off",IF(C237="unfilled","Unfilled",""))))))))</f>
      </c>
      <c r="B237" s="31"/>
      <c r="C237" s="35"/>
      <c r="D237" s="33"/>
      <c r="E237" s="31"/>
      <c r="F237" s="31"/>
      <c r="G237" s="37">
        <f>IF(F237="","",IF(ISNA(MATCH(F237,'Item master'!$A$2:$A$301,0)),"Not in Item master",IFERROR(INDEX('Item master'!$B$2:$B$301,MATCH(F237,'Item master'!$A$2:$A$301,0))&amp;"","")))</f>
      </c>
      <c r="H237" s="34"/>
      <c r="I237" s="31"/>
      <c r="J237" s="31"/>
      <c r="K237" s="33"/>
      <c r="L237" s="31"/>
      <c r="M237" s="35"/>
      <c r="N237" s="30"/>
      <c r="O237" s="30"/>
      <c r="P237" s="36"/>
      <c r="Q237" s="38">
        <f>IF(OR(C237&lt;&gt;"loan",E237=""),"",IF(ISNA(MATCH(E237,Units!$A$2:$A$501,0)),"",IF(INDEX(Units!$E$2:$E$501,MATCH(E237,Units!$A$2:$A$501,0))="","",IF(K237="","No due date",IF(INT(K237)&gt;INDEX(Units!$E$2:$E$501,MATCH(E237,Units!$A$2:$A$501,0)),"Past cal date","OK")))))</f>
      </c>
      <c r="R237" s="37">
        <f>IF(A237="Overdue",K237+ROW()/10000000,"")</f>
      </c>
    </row>
    <row r="238">
      <c r="A238" s="38">
        <f>IF(C238="","",IF(B238="","Needs ID",IF(OR(C238="loan",C238="send_out"),IF(COUNTIF($L$2:$L$1001,B238)&gt;0,"Closed",IF(K238="","Open",IF(K238&lt;NOW(),"Overdue","Open"))),IF(C238="return",IF(OR(L238="",COUNTIF($B$2:$B$1001,L238)=0),"No match",IF(OR(M238="worn",M238="damaged"),"Quarantine","Returned")),IF(C238="issue","Issued",IF(C238="transfer","Moved",IF(C238="write_off","Written off",IF(C238="unfilled","Unfilled",""))))))))</f>
      </c>
      <c r="B238" s="31"/>
      <c r="C238" s="35"/>
      <c r="D238" s="33"/>
      <c r="E238" s="31"/>
      <c r="F238" s="31"/>
      <c r="G238" s="37">
        <f>IF(F238="","",IF(ISNA(MATCH(F238,'Item master'!$A$2:$A$301,0)),"Not in Item master",IFERROR(INDEX('Item master'!$B$2:$B$301,MATCH(F238,'Item master'!$A$2:$A$301,0))&amp;"","")))</f>
      </c>
      <c r="H238" s="34"/>
      <c r="I238" s="31"/>
      <c r="J238" s="31"/>
      <c r="K238" s="33"/>
      <c r="L238" s="31"/>
      <c r="M238" s="35"/>
      <c r="N238" s="30"/>
      <c r="O238" s="30"/>
      <c r="P238" s="36"/>
      <c r="Q238" s="38">
        <f>IF(OR(C238&lt;&gt;"loan",E238=""),"",IF(ISNA(MATCH(E238,Units!$A$2:$A$501,0)),"",IF(INDEX(Units!$E$2:$E$501,MATCH(E238,Units!$A$2:$A$501,0))="","",IF(K238="","No due date",IF(INT(K238)&gt;INDEX(Units!$E$2:$E$501,MATCH(E238,Units!$A$2:$A$501,0)),"Past cal date","OK")))))</f>
      </c>
      <c r="R238" s="37">
        <f>IF(A238="Overdue",K238+ROW()/10000000,"")</f>
      </c>
    </row>
    <row r="239">
      <c r="A239" s="38">
        <f>IF(C239="","",IF(B239="","Needs ID",IF(OR(C239="loan",C239="send_out"),IF(COUNTIF($L$2:$L$1001,B239)&gt;0,"Closed",IF(K239="","Open",IF(K239&lt;NOW(),"Overdue","Open"))),IF(C239="return",IF(OR(L239="",COUNTIF($B$2:$B$1001,L239)=0),"No match",IF(OR(M239="worn",M239="damaged"),"Quarantine","Returned")),IF(C239="issue","Issued",IF(C239="transfer","Moved",IF(C239="write_off","Written off",IF(C239="unfilled","Unfilled",""))))))))</f>
      </c>
      <c r="B239" s="31"/>
      <c r="C239" s="35"/>
      <c r="D239" s="33"/>
      <c r="E239" s="31"/>
      <c r="F239" s="31"/>
      <c r="G239" s="37">
        <f>IF(F239="","",IF(ISNA(MATCH(F239,'Item master'!$A$2:$A$301,0)),"Not in Item master",IFERROR(INDEX('Item master'!$B$2:$B$301,MATCH(F239,'Item master'!$A$2:$A$301,0))&amp;"","")))</f>
      </c>
      <c r="H239" s="34"/>
      <c r="I239" s="31"/>
      <c r="J239" s="31"/>
      <c r="K239" s="33"/>
      <c r="L239" s="31"/>
      <c r="M239" s="35"/>
      <c r="N239" s="30"/>
      <c r="O239" s="30"/>
      <c r="P239" s="36"/>
      <c r="Q239" s="38">
        <f>IF(OR(C239&lt;&gt;"loan",E239=""),"",IF(ISNA(MATCH(E239,Units!$A$2:$A$501,0)),"",IF(INDEX(Units!$E$2:$E$501,MATCH(E239,Units!$A$2:$A$501,0))="","",IF(K239="","No due date",IF(INT(K239)&gt;INDEX(Units!$E$2:$E$501,MATCH(E239,Units!$A$2:$A$501,0)),"Past cal date","OK")))))</f>
      </c>
      <c r="R239" s="37">
        <f>IF(A239="Overdue",K239+ROW()/10000000,"")</f>
      </c>
    </row>
    <row r="240">
      <c r="A240" s="38">
        <f>IF(C240="","",IF(B240="","Needs ID",IF(OR(C240="loan",C240="send_out"),IF(COUNTIF($L$2:$L$1001,B240)&gt;0,"Closed",IF(K240="","Open",IF(K240&lt;NOW(),"Overdue","Open"))),IF(C240="return",IF(OR(L240="",COUNTIF($B$2:$B$1001,L240)=0),"No match",IF(OR(M240="worn",M240="damaged"),"Quarantine","Returned")),IF(C240="issue","Issued",IF(C240="transfer","Moved",IF(C240="write_off","Written off",IF(C240="unfilled","Unfilled",""))))))))</f>
      </c>
      <c r="B240" s="31"/>
      <c r="C240" s="35"/>
      <c r="D240" s="33"/>
      <c r="E240" s="31"/>
      <c r="F240" s="31"/>
      <c r="G240" s="37">
        <f>IF(F240="","",IF(ISNA(MATCH(F240,'Item master'!$A$2:$A$301,0)),"Not in Item master",IFERROR(INDEX('Item master'!$B$2:$B$301,MATCH(F240,'Item master'!$A$2:$A$301,0))&amp;"","")))</f>
      </c>
      <c r="H240" s="34"/>
      <c r="I240" s="31"/>
      <c r="J240" s="31"/>
      <c r="K240" s="33"/>
      <c r="L240" s="31"/>
      <c r="M240" s="35"/>
      <c r="N240" s="30"/>
      <c r="O240" s="30"/>
      <c r="P240" s="36"/>
      <c r="Q240" s="38">
        <f>IF(OR(C240&lt;&gt;"loan",E240=""),"",IF(ISNA(MATCH(E240,Units!$A$2:$A$501,0)),"",IF(INDEX(Units!$E$2:$E$501,MATCH(E240,Units!$A$2:$A$501,0))="","",IF(K240="","No due date",IF(INT(K240)&gt;INDEX(Units!$E$2:$E$501,MATCH(E240,Units!$A$2:$A$501,0)),"Past cal date","OK")))))</f>
      </c>
      <c r="R240" s="37">
        <f>IF(A240="Overdue",K240+ROW()/10000000,"")</f>
      </c>
    </row>
    <row r="241">
      <c r="A241" s="38">
        <f>IF(C241="","",IF(B241="","Needs ID",IF(OR(C241="loan",C241="send_out"),IF(COUNTIF($L$2:$L$1001,B241)&gt;0,"Closed",IF(K241="","Open",IF(K241&lt;NOW(),"Overdue","Open"))),IF(C241="return",IF(OR(L241="",COUNTIF($B$2:$B$1001,L241)=0),"No match",IF(OR(M241="worn",M241="damaged"),"Quarantine","Returned")),IF(C241="issue","Issued",IF(C241="transfer","Moved",IF(C241="write_off","Written off",IF(C241="unfilled","Unfilled",""))))))))</f>
      </c>
      <c r="B241" s="31"/>
      <c r="C241" s="35"/>
      <c r="D241" s="33"/>
      <c r="E241" s="31"/>
      <c r="F241" s="31"/>
      <c r="G241" s="37">
        <f>IF(F241="","",IF(ISNA(MATCH(F241,'Item master'!$A$2:$A$301,0)),"Not in Item master",IFERROR(INDEX('Item master'!$B$2:$B$301,MATCH(F241,'Item master'!$A$2:$A$301,0))&amp;"","")))</f>
      </c>
      <c r="H241" s="34"/>
      <c r="I241" s="31"/>
      <c r="J241" s="31"/>
      <c r="K241" s="33"/>
      <c r="L241" s="31"/>
      <c r="M241" s="35"/>
      <c r="N241" s="30"/>
      <c r="O241" s="30"/>
      <c r="P241" s="36"/>
      <c r="Q241" s="38">
        <f>IF(OR(C241&lt;&gt;"loan",E241=""),"",IF(ISNA(MATCH(E241,Units!$A$2:$A$501,0)),"",IF(INDEX(Units!$E$2:$E$501,MATCH(E241,Units!$A$2:$A$501,0))="","",IF(K241="","No due date",IF(INT(K241)&gt;INDEX(Units!$E$2:$E$501,MATCH(E241,Units!$A$2:$A$501,0)),"Past cal date","OK")))))</f>
      </c>
      <c r="R241" s="37">
        <f>IF(A241="Overdue",K241+ROW()/10000000,"")</f>
      </c>
    </row>
    <row r="242">
      <c r="A242" s="38">
        <f>IF(C242="","",IF(B242="","Needs ID",IF(OR(C242="loan",C242="send_out"),IF(COUNTIF($L$2:$L$1001,B242)&gt;0,"Closed",IF(K242="","Open",IF(K242&lt;NOW(),"Overdue","Open"))),IF(C242="return",IF(OR(L242="",COUNTIF($B$2:$B$1001,L242)=0),"No match",IF(OR(M242="worn",M242="damaged"),"Quarantine","Returned")),IF(C242="issue","Issued",IF(C242="transfer","Moved",IF(C242="write_off","Written off",IF(C242="unfilled","Unfilled",""))))))))</f>
      </c>
      <c r="B242" s="31"/>
      <c r="C242" s="35"/>
      <c r="D242" s="33"/>
      <c r="E242" s="31"/>
      <c r="F242" s="31"/>
      <c r="G242" s="37">
        <f>IF(F242="","",IF(ISNA(MATCH(F242,'Item master'!$A$2:$A$301,0)),"Not in Item master",IFERROR(INDEX('Item master'!$B$2:$B$301,MATCH(F242,'Item master'!$A$2:$A$301,0))&amp;"","")))</f>
      </c>
      <c r="H242" s="34"/>
      <c r="I242" s="31"/>
      <c r="J242" s="31"/>
      <c r="K242" s="33"/>
      <c r="L242" s="31"/>
      <c r="M242" s="35"/>
      <c r="N242" s="30"/>
      <c r="O242" s="30"/>
      <c r="P242" s="36"/>
      <c r="Q242" s="38">
        <f>IF(OR(C242&lt;&gt;"loan",E242=""),"",IF(ISNA(MATCH(E242,Units!$A$2:$A$501,0)),"",IF(INDEX(Units!$E$2:$E$501,MATCH(E242,Units!$A$2:$A$501,0))="","",IF(K242="","No due date",IF(INT(K242)&gt;INDEX(Units!$E$2:$E$501,MATCH(E242,Units!$A$2:$A$501,0)),"Past cal date","OK")))))</f>
      </c>
      <c r="R242" s="37">
        <f>IF(A242="Overdue",K242+ROW()/10000000,"")</f>
      </c>
    </row>
    <row r="243">
      <c r="A243" s="38">
        <f>IF(C243="","",IF(B243="","Needs ID",IF(OR(C243="loan",C243="send_out"),IF(COUNTIF($L$2:$L$1001,B243)&gt;0,"Closed",IF(K243="","Open",IF(K243&lt;NOW(),"Overdue","Open"))),IF(C243="return",IF(OR(L243="",COUNTIF($B$2:$B$1001,L243)=0),"No match",IF(OR(M243="worn",M243="damaged"),"Quarantine","Returned")),IF(C243="issue","Issued",IF(C243="transfer","Moved",IF(C243="write_off","Written off",IF(C243="unfilled","Unfilled",""))))))))</f>
      </c>
      <c r="B243" s="31"/>
      <c r="C243" s="35"/>
      <c r="D243" s="33"/>
      <c r="E243" s="31"/>
      <c r="F243" s="31"/>
      <c r="G243" s="37">
        <f>IF(F243="","",IF(ISNA(MATCH(F243,'Item master'!$A$2:$A$301,0)),"Not in Item master",IFERROR(INDEX('Item master'!$B$2:$B$301,MATCH(F243,'Item master'!$A$2:$A$301,0))&amp;"","")))</f>
      </c>
      <c r="H243" s="34"/>
      <c r="I243" s="31"/>
      <c r="J243" s="31"/>
      <c r="K243" s="33"/>
      <c r="L243" s="31"/>
      <c r="M243" s="35"/>
      <c r="N243" s="30"/>
      <c r="O243" s="30"/>
      <c r="P243" s="36"/>
      <c r="Q243" s="38">
        <f>IF(OR(C243&lt;&gt;"loan",E243=""),"",IF(ISNA(MATCH(E243,Units!$A$2:$A$501,0)),"",IF(INDEX(Units!$E$2:$E$501,MATCH(E243,Units!$A$2:$A$501,0))="","",IF(K243="","No due date",IF(INT(K243)&gt;INDEX(Units!$E$2:$E$501,MATCH(E243,Units!$A$2:$A$501,0)),"Past cal date","OK")))))</f>
      </c>
      <c r="R243" s="37">
        <f>IF(A243="Overdue",K243+ROW()/10000000,"")</f>
      </c>
    </row>
    <row r="244">
      <c r="A244" s="38">
        <f>IF(C244="","",IF(B244="","Needs ID",IF(OR(C244="loan",C244="send_out"),IF(COUNTIF($L$2:$L$1001,B244)&gt;0,"Closed",IF(K244="","Open",IF(K244&lt;NOW(),"Overdue","Open"))),IF(C244="return",IF(OR(L244="",COUNTIF($B$2:$B$1001,L244)=0),"No match",IF(OR(M244="worn",M244="damaged"),"Quarantine","Returned")),IF(C244="issue","Issued",IF(C244="transfer","Moved",IF(C244="write_off","Written off",IF(C244="unfilled","Unfilled",""))))))))</f>
      </c>
      <c r="B244" s="31"/>
      <c r="C244" s="35"/>
      <c r="D244" s="33"/>
      <c r="E244" s="31"/>
      <c r="F244" s="31"/>
      <c r="G244" s="37">
        <f>IF(F244="","",IF(ISNA(MATCH(F244,'Item master'!$A$2:$A$301,0)),"Not in Item master",IFERROR(INDEX('Item master'!$B$2:$B$301,MATCH(F244,'Item master'!$A$2:$A$301,0))&amp;"","")))</f>
      </c>
      <c r="H244" s="34"/>
      <c r="I244" s="31"/>
      <c r="J244" s="31"/>
      <c r="K244" s="33"/>
      <c r="L244" s="31"/>
      <c r="M244" s="35"/>
      <c r="N244" s="30"/>
      <c r="O244" s="30"/>
      <c r="P244" s="36"/>
      <c r="Q244" s="38">
        <f>IF(OR(C244&lt;&gt;"loan",E244=""),"",IF(ISNA(MATCH(E244,Units!$A$2:$A$501,0)),"",IF(INDEX(Units!$E$2:$E$501,MATCH(E244,Units!$A$2:$A$501,0))="","",IF(K244="","No due date",IF(INT(K244)&gt;INDEX(Units!$E$2:$E$501,MATCH(E244,Units!$A$2:$A$501,0)),"Past cal date","OK")))))</f>
      </c>
      <c r="R244" s="37">
        <f>IF(A244="Overdue",K244+ROW()/10000000,"")</f>
      </c>
    </row>
    <row r="245">
      <c r="A245" s="38">
        <f>IF(C245="","",IF(B245="","Needs ID",IF(OR(C245="loan",C245="send_out"),IF(COUNTIF($L$2:$L$1001,B245)&gt;0,"Closed",IF(K245="","Open",IF(K245&lt;NOW(),"Overdue","Open"))),IF(C245="return",IF(OR(L245="",COUNTIF($B$2:$B$1001,L245)=0),"No match",IF(OR(M245="worn",M245="damaged"),"Quarantine","Returned")),IF(C245="issue","Issued",IF(C245="transfer","Moved",IF(C245="write_off","Written off",IF(C245="unfilled","Unfilled",""))))))))</f>
      </c>
      <c r="B245" s="31"/>
      <c r="C245" s="35"/>
      <c r="D245" s="33"/>
      <c r="E245" s="31"/>
      <c r="F245" s="31"/>
      <c r="G245" s="37">
        <f>IF(F245="","",IF(ISNA(MATCH(F245,'Item master'!$A$2:$A$301,0)),"Not in Item master",IFERROR(INDEX('Item master'!$B$2:$B$301,MATCH(F245,'Item master'!$A$2:$A$301,0))&amp;"","")))</f>
      </c>
      <c r="H245" s="34"/>
      <c r="I245" s="31"/>
      <c r="J245" s="31"/>
      <c r="K245" s="33"/>
      <c r="L245" s="31"/>
      <c r="M245" s="35"/>
      <c r="N245" s="30"/>
      <c r="O245" s="30"/>
      <c r="P245" s="36"/>
      <c r="Q245" s="38">
        <f>IF(OR(C245&lt;&gt;"loan",E245=""),"",IF(ISNA(MATCH(E245,Units!$A$2:$A$501,0)),"",IF(INDEX(Units!$E$2:$E$501,MATCH(E245,Units!$A$2:$A$501,0))="","",IF(K245="","No due date",IF(INT(K245)&gt;INDEX(Units!$E$2:$E$501,MATCH(E245,Units!$A$2:$A$501,0)),"Past cal date","OK")))))</f>
      </c>
      <c r="R245" s="37">
        <f>IF(A245="Overdue",K245+ROW()/10000000,"")</f>
      </c>
    </row>
    <row r="246">
      <c r="A246" s="38">
        <f>IF(C246="","",IF(B246="","Needs ID",IF(OR(C246="loan",C246="send_out"),IF(COUNTIF($L$2:$L$1001,B246)&gt;0,"Closed",IF(K246="","Open",IF(K246&lt;NOW(),"Overdue","Open"))),IF(C246="return",IF(OR(L246="",COUNTIF($B$2:$B$1001,L246)=0),"No match",IF(OR(M246="worn",M246="damaged"),"Quarantine","Returned")),IF(C246="issue","Issued",IF(C246="transfer","Moved",IF(C246="write_off","Written off",IF(C246="unfilled","Unfilled",""))))))))</f>
      </c>
      <c r="B246" s="31"/>
      <c r="C246" s="35"/>
      <c r="D246" s="33"/>
      <c r="E246" s="31"/>
      <c r="F246" s="31"/>
      <c r="G246" s="37">
        <f>IF(F246="","",IF(ISNA(MATCH(F246,'Item master'!$A$2:$A$301,0)),"Not in Item master",IFERROR(INDEX('Item master'!$B$2:$B$301,MATCH(F246,'Item master'!$A$2:$A$301,0))&amp;"","")))</f>
      </c>
      <c r="H246" s="34"/>
      <c r="I246" s="31"/>
      <c r="J246" s="31"/>
      <c r="K246" s="33"/>
      <c r="L246" s="31"/>
      <c r="M246" s="35"/>
      <c r="N246" s="30"/>
      <c r="O246" s="30"/>
      <c r="P246" s="36"/>
      <c r="Q246" s="38">
        <f>IF(OR(C246&lt;&gt;"loan",E246=""),"",IF(ISNA(MATCH(E246,Units!$A$2:$A$501,0)),"",IF(INDEX(Units!$E$2:$E$501,MATCH(E246,Units!$A$2:$A$501,0))="","",IF(K246="","No due date",IF(INT(K246)&gt;INDEX(Units!$E$2:$E$501,MATCH(E246,Units!$A$2:$A$501,0)),"Past cal date","OK")))))</f>
      </c>
      <c r="R246" s="37">
        <f>IF(A246="Overdue",K246+ROW()/10000000,"")</f>
      </c>
    </row>
    <row r="247">
      <c r="A247" s="38">
        <f>IF(C247="","",IF(B247="","Needs ID",IF(OR(C247="loan",C247="send_out"),IF(COUNTIF($L$2:$L$1001,B247)&gt;0,"Closed",IF(K247="","Open",IF(K247&lt;NOW(),"Overdue","Open"))),IF(C247="return",IF(OR(L247="",COUNTIF($B$2:$B$1001,L247)=0),"No match",IF(OR(M247="worn",M247="damaged"),"Quarantine","Returned")),IF(C247="issue","Issued",IF(C247="transfer","Moved",IF(C247="write_off","Written off",IF(C247="unfilled","Unfilled",""))))))))</f>
      </c>
      <c r="B247" s="31"/>
      <c r="C247" s="35"/>
      <c r="D247" s="33"/>
      <c r="E247" s="31"/>
      <c r="F247" s="31"/>
      <c r="G247" s="37">
        <f>IF(F247="","",IF(ISNA(MATCH(F247,'Item master'!$A$2:$A$301,0)),"Not in Item master",IFERROR(INDEX('Item master'!$B$2:$B$301,MATCH(F247,'Item master'!$A$2:$A$301,0))&amp;"","")))</f>
      </c>
      <c r="H247" s="34"/>
      <c r="I247" s="31"/>
      <c r="J247" s="31"/>
      <c r="K247" s="33"/>
      <c r="L247" s="31"/>
      <c r="M247" s="35"/>
      <c r="N247" s="30"/>
      <c r="O247" s="30"/>
      <c r="P247" s="36"/>
      <c r="Q247" s="38">
        <f>IF(OR(C247&lt;&gt;"loan",E247=""),"",IF(ISNA(MATCH(E247,Units!$A$2:$A$501,0)),"",IF(INDEX(Units!$E$2:$E$501,MATCH(E247,Units!$A$2:$A$501,0))="","",IF(K247="","No due date",IF(INT(K247)&gt;INDEX(Units!$E$2:$E$501,MATCH(E247,Units!$A$2:$A$501,0)),"Past cal date","OK")))))</f>
      </c>
      <c r="R247" s="37">
        <f>IF(A247="Overdue",K247+ROW()/10000000,"")</f>
      </c>
    </row>
    <row r="248">
      <c r="A248" s="38">
        <f>IF(C248="","",IF(B248="","Needs ID",IF(OR(C248="loan",C248="send_out"),IF(COUNTIF($L$2:$L$1001,B248)&gt;0,"Closed",IF(K248="","Open",IF(K248&lt;NOW(),"Overdue","Open"))),IF(C248="return",IF(OR(L248="",COUNTIF($B$2:$B$1001,L248)=0),"No match",IF(OR(M248="worn",M248="damaged"),"Quarantine","Returned")),IF(C248="issue","Issued",IF(C248="transfer","Moved",IF(C248="write_off","Written off",IF(C248="unfilled","Unfilled",""))))))))</f>
      </c>
      <c r="B248" s="31"/>
      <c r="C248" s="35"/>
      <c r="D248" s="33"/>
      <c r="E248" s="31"/>
      <c r="F248" s="31"/>
      <c r="G248" s="37">
        <f>IF(F248="","",IF(ISNA(MATCH(F248,'Item master'!$A$2:$A$301,0)),"Not in Item master",IFERROR(INDEX('Item master'!$B$2:$B$301,MATCH(F248,'Item master'!$A$2:$A$301,0))&amp;"","")))</f>
      </c>
      <c r="H248" s="34"/>
      <c r="I248" s="31"/>
      <c r="J248" s="31"/>
      <c r="K248" s="33"/>
      <c r="L248" s="31"/>
      <c r="M248" s="35"/>
      <c r="N248" s="30"/>
      <c r="O248" s="30"/>
      <c r="P248" s="36"/>
      <c r="Q248" s="38">
        <f>IF(OR(C248&lt;&gt;"loan",E248=""),"",IF(ISNA(MATCH(E248,Units!$A$2:$A$501,0)),"",IF(INDEX(Units!$E$2:$E$501,MATCH(E248,Units!$A$2:$A$501,0))="","",IF(K248="","No due date",IF(INT(K248)&gt;INDEX(Units!$E$2:$E$501,MATCH(E248,Units!$A$2:$A$501,0)),"Past cal date","OK")))))</f>
      </c>
      <c r="R248" s="37">
        <f>IF(A248="Overdue",K248+ROW()/10000000,"")</f>
      </c>
    </row>
    <row r="249">
      <c r="A249" s="38">
        <f>IF(C249="","",IF(B249="","Needs ID",IF(OR(C249="loan",C249="send_out"),IF(COUNTIF($L$2:$L$1001,B249)&gt;0,"Closed",IF(K249="","Open",IF(K249&lt;NOW(),"Overdue","Open"))),IF(C249="return",IF(OR(L249="",COUNTIF($B$2:$B$1001,L249)=0),"No match",IF(OR(M249="worn",M249="damaged"),"Quarantine","Returned")),IF(C249="issue","Issued",IF(C249="transfer","Moved",IF(C249="write_off","Written off",IF(C249="unfilled","Unfilled",""))))))))</f>
      </c>
      <c r="B249" s="31"/>
      <c r="C249" s="35"/>
      <c r="D249" s="33"/>
      <c r="E249" s="31"/>
      <c r="F249" s="31"/>
      <c r="G249" s="37">
        <f>IF(F249="","",IF(ISNA(MATCH(F249,'Item master'!$A$2:$A$301,0)),"Not in Item master",IFERROR(INDEX('Item master'!$B$2:$B$301,MATCH(F249,'Item master'!$A$2:$A$301,0))&amp;"","")))</f>
      </c>
      <c r="H249" s="34"/>
      <c r="I249" s="31"/>
      <c r="J249" s="31"/>
      <c r="K249" s="33"/>
      <c r="L249" s="31"/>
      <c r="M249" s="35"/>
      <c r="N249" s="30"/>
      <c r="O249" s="30"/>
      <c r="P249" s="36"/>
      <c r="Q249" s="38">
        <f>IF(OR(C249&lt;&gt;"loan",E249=""),"",IF(ISNA(MATCH(E249,Units!$A$2:$A$501,0)),"",IF(INDEX(Units!$E$2:$E$501,MATCH(E249,Units!$A$2:$A$501,0))="","",IF(K249="","No due date",IF(INT(K249)&gt;INDEX(Units!$E$2:$E$501,MATCH(E249,Units!$A$2:$A$501,0)),"Past cal date","OK")))))</f>
      </c>
      <c r="R249" s="37">
        <f>IF(A249="Overdue",K249+ROW()/10000000,"")</f>
      </c>
    </row>
    <row r="250">
      <c r="A250" s="38">
        <f>IF(C250="","",IF(B250="","Needs ID",IF(OR(C250="loan",C250="send_out"),IF(COUNTIF($L$2:$L$1001,B250)&gt;0,"Closed",IF(K250="","Open",IF(K250&lt;NOW(),"Overdue","Open"))),IF(C250="return",IF(OR(L250="",COUNTIF($B$2:$B$1001,L250)=0),"No match",IF(OR(M250="worn",M250="damaged"),"Quarantine","Returned")),IF(C250="issue","Issued",IF(C250="transfer","Moved",IF(C250="write_off","Written off",IF(C250="unfilled","Unfilled",""))))))))</f>
      </c>
      <c r="B250" s="31"/>
      <c r="C250" s="35"/>
      <c r="D250" s="33"/>
      <c r="E250" s="31"/>
      <c r="F250" s="31"/>
      <c r="G250" s="37">
        <f>IF(F250="","",IF(ISNA(MATCH(F250,'Item master'!$A$2:$A$301,0)),"Not in Item master",IFERROR(INDEX('Item master'!$B$2:$B$301,MATCH(F250,'Item master'!$A$2:$A$301,0))&amp;"","")))</f>
      </c>
      <c r="H250" s="34"/>
      <c r="I250" s="31"/>
      <c r="J250" s="31"/>
      <c r="K250" s="33"/>
      <c r="L250" s="31"/>
      <c r="M250" s="35"/>
      <c r="N250" s="30"/>
      <c r="O250" s="30"/>
      <c r="P250" s="36"/>
      <c r="Q250" s="38">
        <f>IF(OR(C250&lt;&gt;"loan",E250=""),"",IF(ISNA(MATCH(E250,Units!$A$2:$A$501,0)),"",IF(INDEX(Units!$E$2:$E$501,MATCH(E250,Units!$A$2:$A$501,0))="","",IF(K250="","No due date",IF(INT(K250)&gt;INDEX(Units!$E$2:$E$501,MATCH(E250,Units!$A$2:$A$501,0)),"Past cal date","OK")))))</f>
      </c>
      <c r="R250" s="37">
        <f>IF(A250="Overdue",K250+ROW()/10000000,"")</f>
      </c>
    </row>
    <row r="251">
      <c r="A251" s="38">
        <f>IF(C251="","",IF(B251="","Needs ID",IF(OR(C251="loan",C251="send_out"),IF(COUNTIF($L$2:$L$1001,B251)&gt;0,"Closed",IF(K251="","Open",IF(K251&lt;NOW(),"Overdue","Open"))),IF(C251="return",IF(OR(L251="",COUNTIF($B$2:$B$1001,L251)=0),"No match",IF(OR(M251="worn",M251="damaged"),"Quarantine","Returned")),IF(C251="issue","Issued",IF(C251="transfer","Moved",IF(C251="write_off","Written off",IF(C251="unfilled","Unfilled",""))))))))</f>
      </c>
      <c r="B251" s="31"/>
      <c r="C251" s="35"/>
      <c r="D251" s="33"/>
      <c r="E251" s="31"/>
      <c r="F251" s="31"/>
      <c r="G251" s="37">
        <f>IF(F251="","",IF(ISNA(MATCH(F251,'Item master'!$A$2:$A$301,0)),"Not in Item master",IFERROR(INDEX('Item master'!$B$2:$B$301,MATCH(F251,'Item master'!$A$2:$A$301,0))&amp;"","")))</f>
      </c>
      <c r="H251" s="34"/>
      <c r="I251" s="31"/>
      <c r="J251" s="31"/>
      <c r="K251" s="33"/>
      <c r="L251" s="31"/>
      <c r="M251" s="35"/>
      <c r="N251" s="30"/>
      <c r="O251" s="30"/>
      <c r="P251" s="36"/>
      <c r="Q251" s="38">
        <f>IF(OR(C251&lt;&gt;"loan",E251=""),"",IF(ISNA(MATCH(E251,Units!$A$2:$A$501,0)),"",IF(INDEX(Units!$E$2:$E$501,MATCH(E251,Units!$A$2:$A$501,0))="","",IF(K251="","No due date",IF(INT(K251)&gt;INDEX(Units!$E$2:$E$501,MATCH(E251,Units!$A$2:$A$501,0)),"Past cal date","OK")))))</f>
      </c>
      <c r="R251" s="37">
        <f>IF(A251="Overdue",K251+ROW()/10000000,"")</f>
      </c>
    </row>
    <row r="252">
      <c r="A252" s="38">
        <f>IF(C252="","",IF(B252="","Needs ID",IF(OR(C252="loan",C252="send_out"),IF(COUNTIF($L$2:$L$1001,B252)&gt;0,"Closed",IF(K252="","Open",IF(K252&lt;NOW(),"Overdue","Open"))),IF(C252="return",IF(OR(L252="",COUNTIF($B$2:$B$1001,L252)=0),"No match",IF(OR(M252="worn",M252="damaged"),"Quarantine","Returned")),IF(C252="issue","Issued",IF(C252="transfer","Moved",IF(C252="write_off","Written off",IF(C252="unfilled","Unfilled",""))))))))</f>
      </c>
      <c r="B252" s="31"/>
      <c r="C252" s="35"/>
      <c r="D252" s="33"/>
      <c r="E252" s="31"/>
      <c r="F252" s="31"/>
      <c r="G252" s="37">
        <f>IF(F252="","",IF(ISNA(MATCH(F252,'Item master'!$A$2:$A$301,0)),"Not in Item master",IFERROR(INDEX('Item master'!$B$2:$B$301,MATCH(F252,'Item master'!$A$2:$A$301,0))&amp;"","")))</f>
      </c>
      <c r="H252" s="34"/>
      <c r="I252" s="31"/>
      <c r="J252" s="31"/>
      <c r="K252" s="33"/>
      <c r="L252" s="31"/>
      <c r="M252" s="35"/>
      <c r="N252" s="30"/>
      <c r="O252" s="30"/>
      <c r="P252" s="36"/>
      <c r="Q252" s="38">
        <f>IF(OR(C252&lt;&gt;"loan",E252=""),"",IF(ISNA(MATCH(E252,Units!$A$2:$A$501,0)),"",IF(INDEX(Units!$E$2:$E$501,MATCH(E252,Units!$A$2:$A$501,0))="","",IF(K252="","No due date",IF(INT(K252)&gt;INDEX(Units!$E$2:$E$501,MATCH(E252,Units!$A$2:$A$501,0)),"Past cal date","OK")))))</f>
      </c>
      <c r="R252" s="37">
        <f>IF(A252="Overdue",K252+ROW()/10000000,"")</f>
      </c>
    </row>
    <row r="253">
      <c r="A253" s="38">
        <f>IF(C253="","",IF(B253="","Needs ID",IF(OR(C253="loan",C253="send_out"),IF(COUNTIF($L$2:$L$1001,B253)&gt;0,"Closed",IF(K253="","Open",IF(K253&lt;NOW(),"Overdue","Open"))),IF(C253="return",IF(OR(L253="",COUNTIF($B$2:$B$1001,L253)=0),"No match",IF(OR(M253="worn",M253="damaged"),"Quarantine","Returned")),IF(C253="issue","Issued",IF(C253="transfer","Moved",IF(C253="write_off","Written off",IF(C253="unfilled","Unfilled",""))))))))</f>
      </c>
      <c r="B253" s="31"/>
      <c r="C253" s="35"/>
      <c r="D253" s="33"/>
      <c r="E253" s="31"/>
      <c r="F253" s="31"/>
      <c r="G253" s="37">
        <f>IF(F253="","",IF(ISNA(MATCH(F253,'Item master'!$A$2:$A$301,0)),"Not in Item master",IFERROR(INDEX('Item master'!$B$2:$B$301,MATCH(F253,'Item master'!$A$2:$A$301,0))&amp;"","")))</f>
      </c>
      <c r="H253" s="34"/>
      <c r="I253" s="31"/>
      <c r="J253" s="31"/>
      <c r="K253" s="33"/>
      <c r="L253" s="31"/>
      <c r="M253" s="35"/>
      <c r="N253" s="30"/>
      <c r="O253" s="30"/>
      <c r="P253" s="36"/>
      <c r="Q253" s="38">
        <f>IF(OR(C253&lt;&gt;"loan",E253=""),"",IF(ISNA(MATCH(E253,Units!$A$2:$A$501,0)),"",IF(INDEX(Units!$E$2:$E$501,MATCH(E253,Units!$A$2:$A$501,0))="","",IF(K253="","No due date",IF(INT(K253)&gt;INDEX(Units!$E$2:$E$501,MATCH(E253,Units!$A$2:$A$501,0)),"Past cal date","OK")))))</f>
      </c>
      <c r="R253" s="37">
        <f>IF(A253="Overdue",K253+ROW()/10000000,"")</f>
      </c>
    </row>
    <row r="254">
      <c r="A254" s="38">
        <f>IF(C254="","",IF(B254="","Needs ID",IF(OR(C254="loan",C254="send_out"),IF(COUNTIF($L$2:$L$1001,B254)&gt;0,"Closed",IF(K254="","Open",IF(K254&lt;NOW(),"Overdue","Open"))),IF(C254="return",IF(OR(L254="",COUNTIF($B$2:$B$1001,L254)=0),"No match",IF(OR(M254="worn",M254="damaged"),"Quarantine","Returned")),IF(C254="issue","Issued",IF(C254="transfer","Moved",IF(C254="write_off","Written off",IF(C254="unfilled","Unfilled",""))))))))</f>
      </c>
      <c r="B254" s="31"/>
      <c r="C254" s="35"/>
      <c r="D254" s="33"/>
      <c r="E254" s="31"/>
      <c r="F254" s="31"/>
      <c r="G254" s="37">
        <f>IF(F254="","",IF(ISNA(MATCH(F254,'Item master'!$A$2:$A$301,0)),"Not in Item master",IFERROR(INDEX('Item master'!$B$2:$B$301,MATCH(F254,'Item master'!$A$2:$A$301,0))&amp;"","")))</f>
      </c>
      <c r="H254" s="34"/>
      <c r="I254" s="31"/>
      <c r="J254" s="31"/>
      <c r="K254" s="33"/>
      <c r="L254" s="31"/>
      <c r="M254" s="35"/>
      <c r="N254" s="30"/>
      <c r="O254" s="30"/>
      <c r="P254" s="36"/>
      <c r="Q254" s="38">
        <f>IF(OR(C254&lt;&gt;"loan",E254=""),"",IF(ISNA(MATCH(E254,Units!$A$2:$A$501,0)),"",IF(INDEX(Units!$E$2:$E$501,MATCH(E254,Units!$A$2:$A$501,0))="","",IF(K254="","No due date",IF(INT(K254)&gt;INDEX(Units!$E$2:$E$501,MATCH(E254,Units!$A$2:$A$501,0)),"Past cal date","OK")))))</f>
      </c>
      <c r="R254" s="37">
        <f>IF(A254="Overdue",K254+ROW()/10000000,"")</f>
      </c>
    </row>
    <row r="255">
      <c r="A255" s="38">
        <f>IF(C255="","",IF(B255="","Needs ID",IF(OR(C255="loan",C255="send_out"),IF(COUNTIF($L$2:$L$1001,B255)&gt;0,"Closed",IF(K255="","Open",IF(K255&lt;NOW(),"Overdue","Open"))),IF(C255="return",IF(OR(L255="",COUNTIF($B$2:$B$1001,L255)=0),"No match",IF(OR(M255="worn",M255="damaged"),"Quarantine","Returned")),IF(C255="issue","Issued",IF(C255="transfer","Moved",IF(C255="write_off","Written off",IF(C255="unfilled","Unfilled",""))))))))</f>
      </c>
      <c r="B255" s="31"/>
      <c r="C255" s="35"/>
      <c r="D255" s="33"/>
      <c r="E255" s="31"/>
      <c r="F255" s="31"/>
      <c r="G255" s="37">
        <f>IF(F255="","",IF(ISNA(MATCH(F255,'Item master'!$A$2:$A$301,0)),"Not in Item master",IFERROR(INDEX('Item master'!$B$2:$B$301,MATCH(F255,'Item master'!$A$2:$A$301,0))&amp;"","")))</f>
      </c>
      <c r="H255" s="34"/>
      <c r="I255" s="31"/>
      <c r="J255" s="31"/>
      <c r="K255" s="33"/>
      <c r="L255" s="31"/>
      <c r="M255" s="35"/>
      <c r="N255" s="30"/>
      <c r="O255" s="30"/>
      <c r="P255" s="36"/>
      <c r="Q255" s="38">
        <f>IF(OR(C255&lt;&gt;"loan",E255=""),"",IF(ISNA(MATCH(E255,Units!$A$2:$A$501,0)),"",IF(INDEX(Units!$E$2:$E$501,MATCH(E255,Units!$A$2:$A$501,0))="","",IF(K255="","No due date",IF(INT(K255)&gt;INDEX(Units!$E$2:$E$501,MATCH(E255,Units!$A$2:$A$501,0)),"Past cal date","OK")))))</f>
      </c>
      <c r="R255" s="37">
        <f>IF(A255="Overdue",K255+ROW()/10000000,"")</f>
      </c>
    </row>
    <row r="256">
      <c r="A256" s="38">
        <f>IF(C256="","",IF(B256="","Needs ID",IF(OR(C256="loan",C256="send_out"),IF(COUNTIF($L$2:$L$1001,B256)&gt;0,"Closed",IF(K256="","Open",IF(K256&lt;NOW(),"Overdue","Open"))),IF(C256="return",IF(OR(L256="",COUNTIF($B$2:$B$1001,L256)=0),"No match",IF(OR(M256="worn",M256="damaged"),"Quarantine","Returned")),IF(C256="issue","Issued",IF(C256="transfer","Moved",IF(C256="write_off","Written off",IF(C256="unfilled","Unfilled",""))))))))</f>
      </c>
      <c r="B256" s="31"/>
      <c r="C256" s="35"/>
      <c r="D256" s="33"/>
      <c r="E256" s="31"/>
      <c r="F256" s="31"/>
      <c r="G256" s="37">
        <f>IF(F256="","",IF(ISNA(MATCH(F256,'Item master'!$A$2:$A$301,0)),"Not in Item master",IFERROR(INDEX('Item master'!$B$2:$B$301,MATCH(F256,'Item master'!$A$2:$A$301,0))&amp;"","")))</f>
      </c>
      <c r="H256" s="34"/>
      <c r="I256" s="31"/>
      <c r="J256" s="31"/>
      <c r="K256" s="33"/>
      <c r="L256" s="31"/>
      <c r="M256" s="35"/>
      <c r="N256" s="30"/>
      <c r="O256" s="30"/>
      <c r="P256" s="36"/>
      <c r="Q256" s="38">
        <f>IF(OR(C256&lt;&gt;"loan",E256=""),"",IF(ISNA(MATCH(E256,Units!$A$2:$A$501,0)),"",IF(INDEX(Units!$E$2:$E$501,MATCH(E256,Units!$A$2:$A$501,0))="","",IF(K256="","No due date",IF(INT(K256)&gt;INDEX(Units!$E$2:$E$501,MATCH(E256,Units!$A$2:$A$501,0)),"Past cal date","OK")))))</f>
      </c>
      <c r="R256" s="37">
        <f>IF(A256="Overdue",K256+ROW()/10000000,"")</f>
      </c>
    </row>
    <row r="257">
      <c r="A257" s="38">
        <f>IF(C257="","",IF(B257="","Needs ID",IF(OR(C257="loan",C257="send_out"),IF(COUNTIF($L$2:$L$1001,B257)&gt;0,"Closed",IF(K257="","Open",IF(K257&lt;NOW(),"Overdue","Open"))),IF(C257="return",IF(OR(L257="",COUNTIF($B$2:$B$1001,L257)=0),"No match",IF(OR(M257="worn",M257="damaged"),"Quarantine","Returned")),IF(C257="issue","Issued",IF(C257="transfer","Moved",IF(C257="write_off","Written off",IF(C257="unfilled","Unfilled",""))))))))</f>
      </c>
      <c r="B257" s="31"/>
      <c r="C257" s="35"/>
      <c r="D257" s="33"/>
      <c r="E257" s="31"/>
      <c r="F257" s="31"/>
      <c r="G257" s="37">
        <f>IF(F257="","",IF(ISNA(MATCH(F257,'Item master'!$A$2:$A$301,0)),"Not in Item master",IFERROR(INDEX('Item master'!$B$2:$B$301,MATCH(F257,'Item master'!$A$2:$A$301,0))&amp;"","")))</f>
      </c>
      <c r="H257" s="34"/>
      <c r="I257" s="31"/>
      <c r="J257" s="31"/>
      <c r="K257" s="33"/>
      <c r="L257" s="31"/>
      <c r="M257" s="35"/>
      <c r="N257" s="30"/>
      <c r="O257" s="30"/>
      <c r="P257" s="36"/>
      <c r="Q257" s="38">
        <f>IF(OR(C257&lt;&gt;"loan",E257=""),"",IF(ISNA(MATCH(E257,Units!$A$2:$A$501,0)),"",IF(INDEX(Units!$E$2:$E$501,MATCH(E257,Units!$A$2:$A$501,0))="","",IF(K257="","No due date",IF(INT(K257)&gt;INDEX(Units!$E$2:$E$501,MATCH(E257,Units!$A$2:$A$501,0)),"Past cal date","OK")))))</f>
      </c>
      <c r="R257" s="37">
        <f>IF(A257="Overdue",K257+ROW()/10000000,"")</f>
      </c>
    </row>
    <row r="258">
      <c r="A258" s="38">
        <f>IF(C258="","",IF(B258="","Needs ID",IF(OR(C258="loan",C258="send_out"),IF(COUNTIF($L$2:$L$1001,B258)&gt;0,"Closed",IF(K258="","Open",IF(K258&lt;NOW(),"Overdue","Open"))),IF(C258="return",IF(OR(L258="",COUNTIF($B$2:$B$1001,L258)=0),"No match",IF(OR(M258="worn",M258="damaged"),"Quarantine","Returned")),IF(C258="issue","Issued",IF(C258="transfer","Moved",IF(C258="write_off","Written off",IF(C258="unfilled","Unfilled",""))))))))</f>
      </c>
      <c r="B258" s="31"/>
      <c r="C258" s="35"/>
      <c r="D258" s="33"/>
      <c r="E258" s="31"/>
      <c r="F258" s="31"/>
      <c r="G258" s="37">
        <f>IF(F258="","",IF(ISNA(MATCH(F258,'Item master'!$A$2:$A$301,0)),"Not in Item master",IFERROR(INDEX('Item master'!$B$2:$B$301,MATCH(F258,'Item master'!$A$2:$A$301,0))&amp;"","")))</f>
      </c>
      <c r="H258" s="34"/>
      <c r="I258" s="31"/>
      <c r="J258" s="31"/>
      <c r="K258" s="33"/>
      <c r="L258" s="31"/>
      <c r="M258" s="35"/>
      <c r="N258" s="30"/>
      <c r="O258" s="30"/>
      <c r="P258" s="36"/>
      <c r="Q258" s="38">
        <f>IF(OR(C258&lt;&gt;"loan",E258=""),"",IF(ISNA(MATCH(E258,Units!$A$2:$A$501,0)),"",IF(INDEX(Units!$E$2:$E$501,MATCH(E258,Units!$A$2:$A$501,0))="","",IF(K258="","No due date",IF(INT(K258)&gt;INDEX(Units!$E$2:$E$501,MATCH(E258,Units!$A$2:$A$501,0)),"Past cal date","OK")))))</f>
      </c>
      <c r="R258" s="37">
        <f>IF(A258="Overdue",K258+ROW()/10000000,"")</f>
      </c>
    </row>
    <row r="259">
      <c r="A259" s="38">
        <f>IF(C259="","",IF(B259="","Needs ID",IF(OR(C259="loan",C259="send_out"),IF(COUNTIF($L$2:$L$1001,B259)&gt;0,"Closed",IF(K259="","Open",IF(K259&lt;NOW(),"Overdue","Open"))),IF(C259="return",IF(OR(L259="",COUNTIF($B$2:$B$1001,L259)=0),"No match",IF(OR(M259="worn",M259="damaged"),"Quarantine","Returned")),IF(C259="issue","Issued",IF(C259="transfer","Moved",IF(C259="write_off","Written off",IF(C259="unfilled","Unfilled",""))))))))</f>
      </c>
      <c r="B259" s="31"/>
      <c r="C259" s="35"/>
      <c r="D259" s="33"/>
      <c r="E259" s="31"/>
      <c r="F259" s="31"/>
      <c r="G259" s="37">
        <f>IF(F259="","",IF(ISNA(MATCH(F259,'Item master'!$A$2:$A$301,0)),"Not in Item master",IFERROR(INDEX('Item master'!$B$2:$B$301,MATCH(F259,'Item master'!$A$2:$A$301,0))&amp;"","")))</f>
      </c>
      <c r="H259" s="34"/>
      <c r="I259" s="31"/>
      <c r="J259" s="31"/>
      <c r="K259" s="33"/>
      <c r="L259" s="31"/>
      <c r="M259" s="35"/>
      <c r="N259" s="30"/>
      <c r="O259" s="30"/>
      <c r="P259" s="36"/>
      <c r="Q259" s="38">
        <f>IF(OR(C259&lt;&gt;"loan",E259=""),"",IF(ISNA(MATCH(E259,Units!$A$2:$A$501,0)),"",IF(INDEX(Units!$E$2:$E$501,MATCH(E259,Units!$A$2:$A$501,0))="","",IF(K259="","No due date",IF(INT(K259)&gt;INDEX(Units!$E$2:$E$501,MATCH(E259,Units!$A$2:$A$501,0)),"Past cal date","OK")))))</f>
      </c>
      <c r="R259" s="37">
        <f>IF(A259="Overdue",K259+ROW()/10000000,"")</f>
      </c>
    </row>
    <row r="260">
      <c r="A260" s="38">
        <f>IF(C260="","",IF(B260="","Needs ID",IF(OR(C260="loan",C260="send_out"),IF(COUNTIF($L$2:$L$1001,B260)&gt;0,"Closed",IF(K260="","Open",IF(K260&lt;NOW(),"Overdue","Open"))),IF(C260="return",IF(OR(L260="",COUNTIF($B$2:$B$1001,L260)=0),"No match",IF(OR(M260="worn",M260="damaged"),"Quarantine","Returned")),IF(C260="issue","Issued",IF(C260="transfer","Moved",IF(C260="write_off","Written off",IF(C260="unfilled","Unfilled",""))))))))</f>
      </c>
      <c r="B260" s="31"/>
      <c r="C260" s="35"/>
      <c r="D260" s="33"/>
      <c r="E260" s="31"/>
      <c r="F260" s="31"/>
      <c r="G260" s="37">
        <f>IF(F260="","",IF(ISNA(MATCH(F260,'Item master'!$A$2:$A$301,0)),"Not in Item master",IFERROR(INDEX('Item master'!$B$2:$B$301,MATCH(F260,'Item master'!$A$2:$A$301,0))&amp;"","")))</f>
      </c>
      <c r="H260" s="34"/>
      <c r="I260" s="31"/>
      <c r="J260" s="31"/>
      <c r="K260" s="33"/>
      <c r="L260" s="31"/>
      <c r="M260" s="35"/>
      <c r="N260" s="30"/>
      <c r="O260" s="30"/>
      <c r="P260" s="36"/>
      <c r="Q260" s="38">
        <f>IF(OR(C260&lt;&gt;"loan",E260=""),"",IF(ISNA(MATCH(E260,Units!$A$2:$A$501,0)),"",IF(INDEX(Units!$E$2:$E$501,MATCH(E260,Units!$A$2:$A$501,0))="","",IF(K260="","No due date",IF(INT(K260)&gt;INDEX(Units!$E$2:$E$501,MATCH(E260,Units!$A$2:$A$501,0)),"Past cal date","OK")))))</f>
      </c>
      <c r="R260" s="37">
        <f>IF(A260="Overdue",K260+ROW()/10000000,"")</f>
      </c>
    </row>
    <row r="261">
      <c r="A261" s="38">
        <f>IF(C261="","",IF(B261="","Needs ID",IF(OR(C261="loan",C261="send_out"),IF(COUNTIF($L$2:$L$1001,B261)&gt;0,"Closed",IF(K261="","Open",IF(K261&lt;NOW(),"Overdue","Open"))),IF(C261="return",IF(OR(L261="",COUNTIF($B$2:$B$1001,L261)=0),"No match",IF(OR(M261="worn",M261="damaged"),"Quarantine","Returned")),IF(C261="issue","Issued",IF(C261="transfer","Moved",IF(C261="write_off","Written off",IF(C261="unfilled","Unfilled",""))))))))</f>
      </c>
      <c r="B261" s="31"/>
      <c r="C261" s="35"/>
      <c r="D261" s="33"/>
      <c r="E261" s="31"/>
      <c r="F261" s="31"/>
      <c r="G261" s="37">
        <f>IF(F261="","",IF(ISNA(MATCH(F261,'Item master'!$A$2:$A$301,0)),"Not in Item master",IFERROR(INDEX('Item master'!$B$2:$B$301,MATCH(F261,'Item master'!$A$2:$A$301,0))&amp;"","")))</f>
      </c>
      <c r="H261" s="34"/>
      <c r="I261" s="31"/>
      <c r="J261" s="31"/>
      <c r="K261" s="33"/>
      <c r="L261" s="31"/>
      <c r="M261" s="35"/>
      <c r="N261" s="30"/>
      <c r="O261" s="30"/>
      <c r="P261" s="36"/>
      <c r="Q261" s="38">
        <f>IF(OR(C261&lt;&gt;"loan",E261=""),"",IF(ISNA(MATCH(E261,Units!$A$2:$A$501,0)),"",IF(INDEX(Units!$E$2:$E$501,MATCH(E261,Units!$A$2:$A$501,0))="","",IF(K261="","No due date",IF(INT(K261)&gt;INDEX(Units!$E$2:$E$501,MATCH(E261,Units!$A$2:$A$501,0)),"Past cal date","OK")))))</f>
      </c>
      <c r="R261" s="37">
        <f>IF(A261="Overdue",K261+ROW()/10000000,"")</f>
      </c>
    </row>
    <row r="262">
      <c r="A262" s="38">
        <f>IF(C262="","",IF(B262="","Needs ID",IF(OR(C262="loan",C262="send_out"),IF(COUNTIF($L$2:$L$1001,B262)&gt;0,"Closed",IF(K262="","Open",IF(K262&lt;NOW(),"Overdue","Open"))),IF(C262="return",IF(OR(L262="",COUNTIF($B$2:$B$1001,L262)=0),"No match",IF(OR(M262="worn",M262="damaged"),"Quarantine","Returned")),IF(C262="issue","Issued",IF(C262="transfer","Moved",IF(C262="write_off","Written off",IF(C262="unfilled","Unfilled",""))))))))</f>
      </c>
      <c r="B262" s="31"/>
      <c r="C262" s="35"/>
      <c r="D262" s="33"/>
      <c r="E262" s="31"/>
      <c r="F262" s="31"/>
      <c r="G262" s="37">
        <f>IF(F262="","",IF(ISNA(MATCH(F262,'Item master'!$A$2:$A$301,0)),"Not in Item master",IFERROR(INDEX('Item master'!$B$2:$B$301,MATCH(F262,'Item master'!$A$2:$A$301,0))&amp;"","")))</f>
      </c>
      <c r="H262" s="34"/>
      <c r="I262" s="31"/>
      <c r="J262" s="31"/>
      <c r="K262" s="33"/>
      <c r="L262" s="31"/>
      <c r="M262" s="35"/>
      <c r="N262" s="30"/>
      <c r="O262" s="30"/>
      <c r="P262" s="36"/>
      <c r="Q262" s="38">
        <f>IF(OR(C262&lt;&gt;"loan",E262=""),"",IF(ISNA(MATCH(E262,Units!$A$2:$A$501,0)),"",IF(INDEX(Units!$E$2:$E$501,MATCH(E262,Units!$A$2:$A$501,0))="","",IF(K262="","No due date",IF(INT(K262)&gt;INDEX(Units!$E$2:$E$501,MATCH(E262,Units!$A$2:$A$501,0)),"Past cal date","OK")))))</f>
      </c>
      <c r="R262" s="37">
        <f>IF(A262="Overdue",K262+ROW()/10000000,"")</f>
      </c>
    </row>
    <row r="263">
      <c r="A263" s="38">
        <f>IF(C263="","",IF(B263="","Needs ID",IF(OR(C263="loan",C263="send_out"),IF(COUNTIF($L$2:$L$1001,B263)&gt;0,"Closed",IF(K263="","Open",IF(K263&lt;NOW(),"Overdue","Open"))),IF(C263="return",IF(OR(L263="",COUNTIF($B$2:$B$1001,L263)=0),"No match",IF(OR(M263="worn",M263="damaged"),"Quarantine","Returned")),IF(C263="issue","Issued",IF(C263="transfer","Moved",IF(C263="write_off","Written off",IF(C263="unfilled","Unfilled",""))))))))</f>
      </c>
      <c r="B263" s="31"/>
      <c r="C263" s="35"/>
      <c r="D263" s="33"/>
      <c r="E263" s="31"/>
      <c r="F263" s="31"/>
      <c r="G263" s="37">
        <f>IF(F263="","",IF(ISNA(MATCH(F263,'Item master'!$A$2:$A$301,0)),"Not in Item master",IFERROR(INDEX('Item master'!$B$2:$B$301,MATCH(F263,'Item master'!$A$2:$A$301,0))&amp;"","")))</f>
      </c>
      <c r="H263" s="34"/>
      <c r="I263" s="31"/>
      <c r="J263" s="31"/>
      <c r="K263" s="33"/>
      <c r="L263" s="31"/>
      <c r="M263" s="35"/>
      <c r="N263" s="30"/>
      <c r="O263" s="30"/>
      <c r="P263" s="36"/>
      <c r="Q263" s="38">
        <f>IF(OR(C263&lt;&gt;"loan",E263=""),"",IF(ISNA(MATCH(E263,Units!$A$2:$A$501,0)),"",IF(INDEX(Units!$E$2:$E$501,MATCH(E263,Units!$A$2:$A$501,0))="","",IF(K263="","No due date",IF(INT(K263)&gt;INDEX(Units!$E$2:$E$501,MATCH(E263,Units!$A$2:$A$501,0)),"Past cal date","OK")))))</f>
      </c>
      <c r="R263" s="37">
        <f>IF(A263="Overdue",K263+ROW()/10000000,"")</f>
      </c>
    </row>
    <row r="264">
      <c r="A264" s="38">
        <f>IF(C264="","",IF(B264="","Needs ID",IF(OR(C264="loan",C264="send_out"),IF(COUNTIF($L$2:$L$1001,B264)&gt;0,"Closed",IF(K264="","Open",IF(K264&lt;NOW(),"Overdue","Open"))),IF(C264="return",IF(OR(L264="",COUNTIF($B$2:$B$1001,L264)=0),"No match",IF(OR(M264="worn",M264="damaged"),"Quarantine","Returned")),IF(C264="issue","Issued",IF(C264="transfer","Moved",IF(C264="write_off","Written off",IF(C264="unfilled","Unfilled",""))))))))</f>
      </c>
      <c r="B264" s="31"/>
      <c r="C264" s="35"/>
      <c r="D264" s="33"/>
      <c r="E264" s="31"/>
      <c r="F264" s="31"/>
      <c r="G264" s="37">
        <f>IF(F264="","",IF(ISNA(MATCH(F264,'Item master'!$A$2:$A$301,0)),"Not in Item master",IFERROR(INDEX('Item master'!$B$2:$B$301,MATCH(F264,'Item master'!$A$2:$A$301,0))&amp;"","")))</f>
      </c>
      <c r="H264" s="34"/>
      <c r="I264" s="31"/>
      <c r="J264" s="31"/>
      <c r="K264" s="33"/>
      <c r="L264" s="31"/>
      <c r="M264" s="35"/>
      <c r="N264" s="30"/>
      <c r="O264" s="30"/>
      <c r="P264" s="36"/>
      <c r="Q264" s="38">
        <f>IF(OR(C264&lt;&gt;"loan",E264=""),"",IF(ISNA(MATCH(E264,Units!$A$2:$A$501,0)),"",IF(INDEX(Units!$E$2:$E$501,MATCH(E264,Units!$A$2:$A$501,0))="","",IF(K264="","No due date",IF(INT(K264)&gt;INDEX(Units!$E$2:$E$501,MATCH(E264,Units!$A$2:$A$501,0)),"Past cal date","OK")))))</f>
      </c>
      <c r="R264" s="37">
        <f>IF(A264="Overdue",K264+ROW()/10000000,"")</f>
      </c>
    </row>
    <row r="265">
      <c r="A265" s="38">
        <f>IF(C265="","",IF(B265="","Needs ID",IF(OR(C265="loan",C265="send_out"),IF(COUNTIF($L$2:$L$1001,B265)&gt;0,"Closed",IF(K265="","Open",IF(K265&lt;NOW(),"Overdue","Open"))),IF(C265="return",IF(OR(L265="",COUNTIF($B$2:$B$1001,L265)=0),"No match",IF(OR(M265="worn",M265="damaged"),"Quarantine","Returned")),IF(C265="issue","Issued",IF(C265="transfer","Moved",IF(C265="write_off","Written off",IF(C265="unfilled","Unfilled",""))))))))</f>
      </c>
      <c r="B265" s="31"/>
      <c r="C265" s="35"/>
      <c r="D265" s="33"/>
      <c r="E265" s="31"/>
      <c r="F265" s="31"/>
      <c r="G265" s="37">
        <f>IF(F265="","",IF(ISNA(MATCH(F265,'Item master'!$A$2:$A$301,0)),"Not in Item master",IFERROR(INDEX('Item master'!$B$2:$B$301,MATCH(F265,'Item master'!$A$2:$A$301,0))&amp;"","")))</f>
      </c>
      <c r="H265" s="34"/>
      <c r="I265" s="31"/>
      <c r="J265" s="31"/>
      <c r="K265" s="33"/>
      <c r="L265" s="31"/>
      <c r="M265" s="35"/>
      <c r="N265" s="30"/>
      <c r="O265" s="30"/>
      <c r="P265" s="36"/>
      <c r="Q265" s="38">
        <f>IF(OR(C265&lt;&gt;"loan",E265=""),"",IF(ISNA(MATCH(E265,Units!$A$2:$A$501,0)),"",IF(INDEX(Units!$E$2:$E$501,MATCH(E265,Units!$A$2:$A$501,0))="","",IF(K265="","No due date",IF(INT(K265)&gt;INDEX(Units!$E$2:$E$501,MATCH(E265,Units!$A$2:$A$501,0)),"Past cal date","OK")))))</f>
      </c>
      <c r="R265" s="37">
        <f>IF(A265="Overdue",K265+ROW()/10000000,"")</f>
      </c>
    </row>
    <row r="266">
      <c r="A266" s="38">
        <f>IF(C266="","",IF(B266="","Needs ID",IF(OR(C266="loan",C266="send_out"),IF(COUNTIF($L$2:$L$1001,B266)&gt;0,"Closed",IF(K266="","Open",IF(K266&lt;NOW(),"Overdue","Open"))),IF(C266="return",IF(OR(L266="",COUNTIF($B$2:$B$1001,L266)=0),"No match",IF(OR(M266="worn",M266="damaged"),"Quarantine","Returned")),IF(C266="issue","Issued",IF(C266="transfer","Moved",IF(C266="write_off","Written off",IF(C266="unfilled","Unfilled",""))))))))</f>
      </c>
      <c r="B266" s="31"/>
      <c r="C266" s="35"/>
      <c r="D266" s="33"/>
      <c r="E266" s="31"/>
      <c r="F266" s="31"/>
      <c r="G266" s="37">
        <f>IF(F266="","",IF(ISNA(MATCH(F266,'Item master'!$A$2:$A$301,0)),"Not in Item master",IFERROR(INDEX('Item master'!$B$2:$B$301,MATCH(F266,'Item master'!$A$2:$A$301,0))&amp;"","")))</f>
      </c>
      <c r="H266" s="34"/>
      <c r="I266" s="31"/>
      <c r="J266" s="31"/>
      <c r="K266" s="33"/>
      <c r="L266" s="31"/>
      <c r="M266" s="35"/>
      <c r="N266" s="30"/>
      <c r="O266" s="30"/>
      <c r="P266" s="36"/>
      <c r="Q266" s="38">
        <f>IF(OR(C266&lt;&gt;"loan",E266=""),"",IF(ISNA(MATCH(E266,Units!$A$2:$A$501,0)),"",IF(INDEX(Units!$E$2:$E$501,MATCH(E266,Units!$A$2:$A$501,0))="","",IF(K266="","No due date",IF(INT(K266)&gt;INDEX(Units!$E$2:$E$501,MATCH(E266,Units!$A$2:$A$501,0)),"Past cal date","OK")))))</f>
      </c>
      <c r="R266" s="37">
        <f>IF(A266="Overdue",K266+ROW()/10000000,"")</f>
      </c>
    </row>
    <row r="267">
      <c r="A267" s="38">
        <f>IF(C267="","",IF(B267="","Needs ID",IF(OR(C267="loan",C267="send_out"),IF(COUNTIF($L$2:$L$1001,B267)&gt;0,"Closed",IF(K267="","Open",IF(K267&lt;NOW(),"Overdue","Open"))),IF(C267="return",IF(OR(L267="",COUNTIF($B$2:$B$1001,L267)=0),"No match",IF(OR(M267="worn",M267="damaged"),"Quarantine","Returned")),IF(C267="issue","Issued",IF(C267="transfer","Moved",IF(C267="write_off","Written off",IF(C267="unfilled","Unfilled",""))))))))</f>
      </c>
      <c r="B267" s="31"/>
      <c r="C267" s="35"/>
      <c r="D267" s="33"/>
      <c r="E267" s="31"/>
      <c r="F267" s="31"/>
      <c r="G267" s="37">
        <f>IF(F267="","",IF(ISNA(MATCH(F267,'Item master'!$A$2:$A$301,0)),"Not in Item master",IFERROR(INDEX('Item master'!$B$2:$B$301,MATCH(F267,'Item master'!$A$2:$A$301,0))&amp;"","")))</f>
      </c>
      <c r="H267" s="34"/>
      <c r="I267" s="31"/>
      <c r="J267" s="31"/>
      <c r="K267" s="33"/>
      <c r="L267" s="31"/>
      <c r="M267" s="35"/>
      <c r="N267" s="30"/>
      <c r="O267" s="30"/>
      <c r="P267" s="36"/>
      <c r="Q267" s="38">
        <f>IF(OR(C267&lt;&gt;"loan",E267=""),"",IF(ISNA(MATCH(E267,Units!$A$2:$A$501,0)),"",IF(INDEX(Units!$E$2:$E$501,MATCH(E267,Units!$A$2:$A$501,0))="","",IF(K267="","No due date",IF(INT(K267)&gt;INDEX(Units!$E$2:$E$501,MATCH(E267,Units!$A$2:$A$501,0)),"Past cal date","OK")))))</f>
      </c>
      <c r="R267" s="37">
        <f>IF(A267="Overdue",K267+ROW()/10000000,"")</f>
      </c>
    </row>
    <row r="268">
      <c r="A268" s="38">
        <f>IF(C268="","",IF(B268="","Needs ID",IF(OR(C268="loan",C268="send_out"),IF(COUNTIF($L$2:$L$1001,B268)&gt;0,"Closed",IF(K268="","Open",IF(K268&lt;NOW(),"Overdue","Open"))),IF(C268="return",IF(OR(L268="",COUNTIF($B$2:$B$1001,L268)=0),"No match",IF(OR(M268="worn",M268="damaged"),"Quarantine","Returned")),IF(C268="issue","Issued",IF(C268="transfer","Moved",IF(C268="write_off","Written off",IF(C268="unfilled","Unfilled",""))))))))</f>
      </c>
      <c r="B268" s="31"/>
      <c r="C268" s="35"/>
      <c r="D268" s="33"/>
      <c r="E268" s="31"/>
      <c r="F268" s="31"/>
      <c r="G268" s="37">
        <f>IF(F268="","",IF(ISNA(MATCH(F268,'Item master'!$A$2:$A$301,0)),"Not in Item master",IFERROR(INDEX('Item master'!$B$2:$B$301,MATCH(F268,'Item master'!$A$2:$A$301,0))&amp;"","")))</f>
      </c>
      <c r="H268" s="34"/>
      <c r="I268" s="31"/>
      <c r="J268" s="31"/>
      <c r="K268" s="33"/>
      <c r="L268" s="31"/>
      <c r="M268" s="35"/>
      <c r="N268" s="30"/>
      <c r="O268" s="30"/>
      <c r="P268" s="36"/>
      <c r="Q268" s="38">
        <f>IF(OR(C268&lt;&gt;"loan",E268=""),"",IF(ISNA(MATCH(E268,Units!$A$2:$A$501,0)),"",IF(INDEX(Units!$E$2:$E$501,MATCH(E268,Units!$A$2:$A$501,0))="","",IF(K268="","No due date",IF(INT(K268)&gt;INDEX(Units!$E$2:$E$501,MATCH(E268,Units!$A$2:$A$501,0)),"Past cal date","OK")))))</f>
      </c>
      <c r="R268" s="37">
        <f>IF(A268="Overdue",K268+ROW()/10000000,"")</f>
      </c>
    </row>
    <row r="269">
      <c r="A269" s="38">
        <f>IF(C269="","",IF(B269="","Needs ID",IF(OR(C269="loan",C269="send_out"),IF(COUNTIF($L$2:$L$1001,B269)&gt;0,"Closed",IF(K269="","Open",IF(K269&lt;NOW(),"Overdue","Open"))),IF(C269="return",IF(OR(L269="",COUNTIF($B$2:$B$1001,L269)=0),"No match",IF(OR(M269="worn",M269="damaged"),"Quarantine","Returned")),IF(C269="issue","Issued",IF(C269="transfer","Moved",IF(C269="write_off","Written off",IF(C269="unfilled","Unfilled",""))))))))</f>
      </c>
      <c r="B269" s="31"/>
      <c r="C269" s="35"/>
      <c r="D269" s="33"/>
      <c r="E269" s="31"/>
      <c r="F269" s="31"/>
      <c r="G269" s="37">
        <f>IF(F269="","",IF(ISNA(MATCH(F269,'Item master'!$A$2:$A$301,0)),"Not in Item master",IFERROR(INDEX('Item master'!$B$2:$B$301,MATCH(F269,'Item master'!$A$2:$A$301,0))&amp;"","")))</f>
      </c>
      <c r="H269" s="34"/>
      <c r="I269" s="31"/>
      <c r="J269" s="31"/>
      <c r="K269" s="33"/>
      <c r="L269" s="31"/>
      <c r="M269" s="35"/>
      <c r="N269" s="30"/>
      <c r="O269" s="30"/>
      <c r="P269" s="36"/>
      <c r="Q269" s="38">
        <f>IF(OR(C269&lt;&gt;"loan",E269=""),"",IF(ISNA(MATCH(E269,Units!$A$2:$A$501,0)),"",IF(INDEX(Units!$E$2:$E$501,MATCH(E269,Units!$A$2:$A$501,0))="","",IF(K269="","No due date",IF(INT(K269)&gt;INDEX(Units!$E$2:$E$501,MATCH(E269,Units!$A$2:$A$501,0)),"Past cal date","OK")))))</f>
      </c>
      <c r="R269" s="37">
        <f>IF(A269="Overdue",K269+ROW()/10000000,"")</f>
      </c>
    </row>
    <row r="270">
      <c r="A270" s="38">
        <f>IF(C270="","",IF(B270="","Needs ID",IF(OR(C270="loan",C270="send_out"),IF(COUNTIF($L$2:$L$1001,B270)&gt;0,"Closed",IF(K270="","Open",IF(K270&lt;NOW(),"Overdue","Open"))),IF(C270="return",IF(OR(L270="",COUNTIF($B$2:$B$1001,L270)=0),"No match",IF(OR(M270="worn",M270="damaged"),"Quarantine","Returned")),IF(C270="issue","Issued",IF(C270="transfer","Moved",IF(C270="write_off","Written off",IF(C270="unfilled","Unfilled",""))))))))</f>
      </c>
      <c r="B270" s="31"/>
      <c r="C270" s="35"/>
      <c r="D270" s="33"/>
      <c r="E270" s="31"/>
      <c r="F270" s="31"/>
      <c r="G270" s="37">
        <f>IF(F270="","",IF(ISNA(MATCH(F270,'Item master'!$A$2:$A$301,0)),"Not in Item master",IFERROR(INDEX('Item master'!$B$2:$B$301,MATCH(F270,'Item master'!$A$2:$A$301,0))&amp;"","")))</f>
      </c>
      <c r="H270" s="34"/>
      <c r="I270" s="31"/>
      <c r="J270" s="31"/>
      <c r="K270" s="33"/>
      <c r="L270" s="31"/>
      <c r="M270" s="35"/>
      <c r="N270" s="30"/>
      <c r="O270" s="30"/>
      <c r="P270" s="36"/>
      <c r="Q270" s="38">
        <f>IF(OR(C270&lt;&gt;"loan",E270=""),"",IF(ISNA(MATCH(E270,Units!$A$2:$A$501,0)),"",IF(INDEX(Units!$E$2:$E$501,MATCH(E270,Units!$A$2:$A$501,0))="","",IF(K270="","No due date",IF(INT(K270)&gt;INDEX(Units!$E$2:$E$501,MATCH(E270,Units!$A$2:$A$501,0)),"Past cal date","OK")))))</f>
      </c>
      <c r="R270" s="37">
        <f>IF(A270="Overdue",K270+ROW()/10000000,"")</f>
      </c>
    </row>
    <row r="271">
      <c r="A271" s="38">
        <f>IF(C271="","",IF(B271="","Needs ID",IF(OR(C271="loan",C271="send_out"),IF(COUNTIF($L$2:$L$1001,B271)&gt;0,"Closed",IF(K271="","Open",IF(K271&lt;NOW(),"Overdue","Open"))),IF(C271="return",IF(OR(L271="",COUNTIF($B$2:$B$1001,L271)=0),"No match",IF(OR(M271="worn",M271="damaged"),"Quarantine","Returned")),IF(C271="issue","Issued",IF(C271="transfer","Moved",IF(C271="write_off","Written off",IF(C271="unfilled","Unfilled",""))))))))</f>
      </c>
      <c r="B271" s="31"/>
      <c r="C271" s="35"/>
      <c r="D271" s="33"/>
      <c r="E271" s="31"/>
      <c r="F271" s="31"/>
      <c r="G271" s="37">
        <f>IF(F271="","",IF(ISNA(MATCH(F271,'Item master'!$A$2:$A$301,0)),"Not in Item master",IFERROR(INDEX('Item master'!$B$2:$B$301,MATCH(F271,'Item master'!$A$2:$A$301,0))&amp;"","")))</f>
      </c>
      <c r="H271" s="34"/>
      <c r="I271" s="31"/>
      <c r="J271" s="31"/>
      <c r="K271" s="33"/>
      <c r="L271" s="31"/>
      <c r="M271" s="35"/>
      <c r="N271" s="30"/>
      <c r="O271" s="30"/>
      <c r="P271" s="36"/>
      <c r="Q271" s="38">
        <f>IF(OR(C271&lt;&gt;"loan",E271=""),"",IF(ISNA(MATCH(E271,Units!$A$2:$A$501,0)),"",IF(INDEX(Units!$E$2:$E$501,MATCH(E271,Units!$A$2:$A$501,0))="","",IF(K271="","No due date",IF(INT(K271)&gt;INDEX(Units!$E$2:$E$501,MATCH(E271,Units!$A$2:$A$501,0)),"Past cal date","OK")))))</f>
      </c>
      <c r="R271" s="37">
        <f>IF(A271="Overdue",K271+ROW()/10000000,"")</f>
      </c>
    </row>
    <row r="272">
      <c r="A272" s="38">
        <f>IF(C272="","",IF(B272="","Needs ID",IF(OR(C272="loan",C272="send_out"),IF(COUNTIF($L$2:$L$1001,B272)&gt;0,"Closed",IF(K272="","Open",IF(K272&lt;NOW(),"Overdue","Open"))),IF(C272="return",IF(OR(L272="",COUNTIF($B$2:$B$1001,L272)=0),"No match",IF(OR(M272="worn",M272="damaged"),"Quarantine","Returned")),IF(C272="issue","Issued",IF(C272="transfer","Moved",IF(C272="write_off","Written off",IF(C272="unfilled","Unfilled",""))))))))</f>
      </c>
      <c r="B272" s="31"/>
      <c r="C272" s="35"/>
      <c r="D272" s="33"/>
      <c r="E272" s="31"/>
      <c r="F272" s="31"/>
      <c r="G272" s="37">
        <f>IF(F272="","",IF(ISNA(MATCH(F272,'Item master'!$A$2:$A$301,0)),"Not in Item master",IFERROR(INDEX('Item master'!$B$2:$B$301,MATCH(F272,'Item master'!$A$2:$A$301,0))&amp;"","")))</f>
      </c>
      <c r="H272" s="34"/>
      <c r="I272" s="31"/>
      <c r="J272" s="31"/>
      <c r="K272" s="33"/>
      <c r="L272" s="31"/>
      <c r="M272" s="35"/>
      <c r="N272" s="30"/>
      <c r="O272" s="30"/>
      <c r="P272" s="36"/>
      <c r="Q272" s="38">
        <f>IF(OR(C272&lt;&gt;"loan",E272=""),"",IF(ISNA(MATCH(E272,Units!$A$2:$A$501,0)),"",IF(INDEX(Units!$E$2:$E$501,MATCH(E272,Units!$A$2:$A$501,0))="","",IF(K272="","No due date",IF(INT(K272)&gt;INDEX(Units!$E$2:$E$501,MATCH(E272,Units!$A$2:$A$501,0)),"Past cal date","OK")))))</f>
      </c>
      <c r="R272" s="37">
        <f>IF(A272="Overdue",K272+ROW()/10000000,"")</f>
      </c>
    </row>
    <row r="273">
      <c r="A273" s="38">
        <f>IF(C273="","",IF(B273="","Needs ID",IF(OR(C273="loan",C273="send_out"),IF(COUNTIF($L$2:$L$1001,B273)&gt;0,"Closed",IF(K273="","Open",IF(K273&lt;NOW(),"Overdue","Open"))),IF(C273="return",IF(OR(L273="",COUNTIF($B$2:$B$1001,L273)=0),"No match",IF(OR(M273="worn",M273="damaged"),"Quarantine","Returned")),IF(C273="issue","Issued",IF(C273="transfer","Moved",IF(C273="write_off","Written off",IF(C273="unfilled","Unfilled",""))))))))</f>
      </c>
      <c r="B273" s="31"/>
      <c r="C273" s="35"/>
      <c r="D273" s="33"/>
      <c r="E273" s="31"/>
      <c r="F273" s="31"/>
      <c r="G273" s="37">
        <f>IF(F273="","",IF(ISNA(MATCH(F273,'Item master'!$A$2:$A$301,0)),"Not in Item master",IFERROR(INDEX('Item master'!$B$2:$B$301,MATCH(F273,'Item master'!$A$2:$A$301,0))&amp;"","")))</f>
      </c>
      <c r="H273" s="34"/>
      <c r="I273" s="31"/>
      <c r="J273" s="31"/>
      <c r="K273" s="33"/>
      <c r="L273" s="31"/>
      <c r="M273" s="35"/>
      <c r="N273" s="30"/>
      <c r="O273" s="30"/>
      <c r="P273" s="36"/>
      <c r="Q273" s="38">
        <f>IF(OR(C273&lt;&gt;"loan",E273=""),"",IF(ISNA(MATCH(E273,Units!$A$2:$A$501,0)),"",IF(INDEX(Units!$E$2:$E$501,MATCH(E273,Units!$A$2:$A$501,0))="","",IF(K273="","No due date",IF(INT(K273)&gt;INDEX(Units!$E$2:$E$501,MATCH(E273,Units!$A$2:$A$501,0)),"Past cal date","OK")))))</f>
      </c>
      <c r="R273" s="37">
        <f>IF(A273="Overdue",K273+ROW()/10000000,"")</f>
      </c>
    </row>
    <row r="274">
      <c r="A274" s="38">
        <f>IF(C274="","",IF(B274="","Needs ID",IF(OR(C274="loan",C274="send_out"),IF(COUNTIF($L$2:$L$1001,B274)&gt;0,"Closed",IF(K274="","Open",IF(K274&lt;NOW(),"Overdue","Open"))),IF(C274="return",IF(OR(L274="",COUNTIF($B$2:$B$1001,L274)=0),"No match",IF(OR(M274="worn",M274="damaged"),"Quarantine","Returned")),IF(C274="issue","Issued",IF(C274="transfer","Moved",IF(C274="write_off","Written off",IF(C274="unfilled","Unfilled",""))))))))</f>
      </c>
      <c r="B274" s="31"/>
      <c r="C274" s="35"/>
      <c r="D274" s="33"/>
      <c r="E274" s="31"/>
      <c r="F274" s="31"/>
      <c r="G274" s="37">
        <f>IF(F274="","",IF(ISNA(MATCH(F274,'Item master'!$A$2:$A$301,0)),"Not in Item master",IFERROR(INDEX('Item master'!$B$2:$B$301,MATCH(F274,'Item master'!$A$2:$A$301,0))&amp;"","")))</f>
      </c>
      <c r="H274" s="34"/>
      <c r="I274" s="31"/>
      <c r="J274" s="31"/>
      <c r="K274" s="33"/>
      <c r="L274" s="31"/>
      <c r="M274" s="35"/>
      <c r="N274" s="30"/>
      <c r="O274" s="30"/>
      <c r="P274" s="36"/>
      <c r="Q274" s="38">
        <f>IF(OR(C274&lt;&gt;"loan",E274=""),"",IF(ISNA(MATCH(E274,Units!$A$2:$A$501,0)),"",IF(INDEX(Units!$E$2:$E$501,MATCH(E274,Units!$A$2:$A$501,0))="","",IF(K274="","No due date",IF(INT(K274)&gt;INDEX(Units!$E$2:$E$501,MATCH(E274,Units!$A$2:$A$501,0)),"Past cal date","OK")))))</f>
      </c>
      <c r="R274" s="37">
        <f>IF(A274="Overdue",K274+ROW()/10000000,"")</f>
      </c>
    </row>
    <row r="275">
      <c r="A275" s="38">
        <f>IF(C275="","",IF(B275="","Needs ID",IF(OR(C275="loan",C275="send_out"),IF(COUNTIF($L$2:$L$1001,B275)&gt;0,"Closed",IF(K275="","Open",IF(K275&lt;NOW(),"Overdue","Open"))),IF(C275="return",IF(OR(L275="",COUNTIF($B$2:$B$1001,L275)=0),"No match",IF(OR(M275="worn",M275="damaged"),"Quarantine","Returned")),IF(C275="issue","Issued",IF(C275="transfer","Moved",IF(C275="write_off","Written off",IF(C275="unfilled","Unfilled",""))))))))</f>
      </c>
      <c r="B275" s="31"/>
      <c r="C275" s="35"/>
      <c r="D275" s="33"/>
      <c r="E275" s="31"/>
      <c r="F275" s="31"/>
      <c r="G275" s="37">
        <f>IF(F275="","",IF(ISNA(MATCH(F275,'Item master'!$A$2:$A$301,0)),"Not in Item master",IFERROR(INDEX('Item master'!$B$2:$B$301,MATCH(F275,'Item master'!$A$2:$A$301,0))&amp;"","")))</f>
      </c>
      <c r="H275" s="34"/>
      <c r="I275" s="31"/>
      <c r="J275" s="31"/>
      <c r="K275" s="33"/>
      <c r="L275" s="31"/>
      <c r="M275" s="35"/>
      <c r="N275" s="30"/>
      <c r="O275" s="30"/>
      <c r="P275" s="36"/>
      <c r="Q275" s="38">
        <f>IF(OR(C275&lt;&gt;"loan",E275=""),"",IF(ISNA(MATCH(E275,Units!$A$2:$A$501,0)),"",IF(INDEX(Units!$E$2:$E$501,MATCH(E275,Units!$A$2:$A$501,0))="","",IF(K275="","No due date",IF(INT(K275)&gt;INDEX(Units!$E$2:$E$501,MATCH(E275,Units!$A$2:$A$501,0)),"Past cal date","OK")))))</f>
      </c>
      <c r="R275" s="37">
        <f>IF(A275="Overdue",K275+ROW()/10000000,"")</f>
      </c>
    </row>
    <row r="276">
      <c r="A276" s="38">
        <f>IF(C276="","",IF(B276="","Needs ID",IF(OR(C276="loan",C276="send_out"),IF(COUNTIF($L$2:$L$1001,B276)&gt;0,"Closed",IF(K276="","Open",IF(K276&lt;NOW(),"Overdue","Open"))),IF(C276="return",IF(OR(L276="",COUNTIF($B$2:$B$1001,L276)=0),"No match",IF(OR(M276="worn",M276="damaged"),"Quarantine","Returned")),IF(C276="issue","Issued",IF(C276="transfer","Moved",IF(C276="write_off","Written off",IF(C276="unfilled","Unfilled",""))))))))</f>
      </c>
      <c r="B276" s="31"/>
      <c r="C276" s="35"/>
      <c r="D276" s="33"/>
      <c r="E276" s="31"/>
      <c r="F276" s="31"/>
      <c r="G276" s="37">
        <f>IF(F276="","",IF(ISNA(MATCH(F276,'Item master'!$A$2:$A$301,0)),"Not in Item master",IFERROR(INDEX('Item master'!$B$2:$B$301,MATCH(F276,'Item master'!$A$2:$A$301,0))&amp;"","")))</f>
      </c>
      <c r="H276" s="34"/>
      <c r="I276" s="31"/>
      <c r="J276" s="31"/>
      <c r="K276" s="33"/>
      <c r="L276" s="31"/>
      <c r="M276" s="35"/>
      <c r="N276" s="30"/>
      <c r="O276" s="30"/>
      <c r="P276" s="36"/>
      <c r="Q276" s="38">
        <f>IF(OR(C276&lt;&gt;"loan",E276=""),"",IF(ISNA(MATCH(E276,Units!$A$2:$A$501,0)),"",IF(INDEX(Units!$E$2:$E$501,MATCH(E276,Units!$A$2:$A$501,0))="","",IF(K276="","No due date",IF(INT(K276)&gt;INDEX(Units!$E$2:$E$501,MATCH(E276,Units!$A$2:$A$501,0)),"Past cal date","OK")))))</f>
      </c>
      <c r="R276" s="37">
        <f>IF(A276="Overdue",K276+ROW()/10000000,"")</f>
      </c>
    </row>
    <row r="277">
      <c r="A277" s="38">
        <f>IF(C277="","",IF(B277="","Needs ID",IF(OR(C277="loan",C277="send_out"),IF(COUNTIF($L$2:$L$1001,B277)&gt;0,"Closed",IF(K277="","Open",IF(K277&lt;NOW(),"Overdue","Open"))),IF(C277="return",IF(OR(L277="",COUNTIF($B$2:$B$1001,L277)=0),"No match",IF(OR(M277="worn",M277="damaged"),"Quarantine","Returned")),IF(C277="issue","Issued",IF(C277="transfer","Moved",IF(C277="write_off","Written off",IF(C277="unfilled","Unfilled",""))))))))</f>
      </c>
      <c r="B277" s="31"/>
      <c r="C277" s="35"/>
      <c r="D277" s="33"/>
      <c r="E277" s="31"/>
      <c r="F277" s="31"/>
      <c r="G277" s="37">
        <f>IF(F277="","",IF(ISNA(MATCH(F277,'Item master'!$A$2:$A$301,0)),"Not in Item master",IFERROR(INDEX('Item master'!$B$2:$B$301,MATCH(F277,'Item master'!$A$2:$A$301,0))&amp;"","")))</f>
      </c>
      <c r="H277" s="34"/>
      <c r="I277" s="31"/>
      <c r="J277" s="31"/>
      <c r="K277" s="33"/>
      <c r="L277" s="31"/>
      <c r="M277" s="35"/>
      <c r="N277" s="30"/>
      <c r="O277" s="30"/>
      <c r="P277" s="36"/>
      <c r="Q277" s="38">
        <f>IF(OR(C277&lt;&gt;"loan",E277=""),"",IF(ISNA(MATCH(E277,Units!$A$2:$A$501,0)),"",IF(INDEX(Units!$E$2:$E$501,MATCH(E277,Units!$A$2:$A$501,0))="","",IF(K277="","No due date",IF(INT(K277)&gt;INDEX(Units!$E$2:$E$501,MATCH(E277,Units!$A$2:$A$501,0)),"Past cal date","OK")))))</f>
      </c>
      <c r="R277" s="37">
        <f>IF(A277="Overdue",K277+ROW()/10000000,"")</f>
      </c>
    </row>
    <row r="278">
      <c r="A278" s="38">
        <f>IF(C278="","",IF(B278="","Needs ID",IF(OR(C278="loan",C278="send_out"),IF(COUNTIF($L$2:$L$1001,B278)&gt;0,"Closed",IF(K278="","Open",IF(K278&lt;NOW(),"Overdue","Open"))),IF(C278="return",IF(OR(L278="",COUNTIF($B$2:$B$1001,L278)=0),"No match",IF(OR(M278="worn",M278="damaged"),"Quarantine","Returned")),IF(C278="issue","Issued",IF(C278="transfer","Moved",IF(C278="write_off","Written off",IF(C278="unfilled","Unfilled",""))))))))</f>
      </c>
      <c r="B278" s="31"/>
      <c r="C278" s="35"/>
      <c r="D278" s="33"/>
      <c r="E278" s="31"/>
      <c r="F278" s="31"/>
      <c r="G278" s="37">
        <f>IF(F278="","",IF(ISNA(MATCH(F278,'Item master'!$A$2:$A$301,0)),"Not in Item master",IFERROR(INDEX('Item master'!$B$2:$B$301,MATCH(F278,'Item master'!$A$2:$A$301,0))&amp;"","")))</f>
      </c>
      <c r="H278" s="34"/>
      <c r="I278" s="31"/>
      <c r="J278" s="31"/>
      <c r="K278" s="33"/>
      <c r="L278" s="31"/>
      <c r="M278" s="35"/>
      <c r="N278" s="30"/>
      <c r="O278" s="30"/>
      <c r="P278" s="36"/>
      <c r="Q278" s="38">
        <f>IF(OR(C278&lt;&gt;"loan",E278=""),"",IF(ISNA(MATCH(E278,Units!$A$2:$A$501,0)),"",IF(INDEX(Units!$E$2:$E$501,MATCH(E278,Units!$A$2:$A$501,0))="","",IF(K278="","No due date",IF(INT(K278)&gt;INDEX(Units!$E$2:$E$501,MATCH(E278,Units!$A$2:$A$501,0)),"Past cal date","OK")))))</f>
      </c>
      <c r="R278" s="37">
        <f>IF(A278="Overdue",K278+ROW()/10000000,"")</f>
      </c>
    </row>
    <row r="279">
      <c r="A279" s="38">
        <f>IF(C279="","",IF(B279="","Needs ID",IF(OR(C279="loan",C279="send_out"),IF(COUNTIF($L$2:$L$1001,B279)&gt;0,"Closed",IF(K279="","Open",IF(K279&lt;NOW(),"Overdue","Open"))),IF(C279="return",IF(OR(L279="",COUNTIF($B$2:$B$1001,L279)=0),"No match",IF(OR(M279="worn",M279="damaged"),"Quarantine","Returned")),IF(C279="issue","Issued",IF(C279="transfer","Moved",IF(C279="write_off","Written off",IF(C279="unfilled","Unfilled",""))))))))</f>
      </c>
      <c r="B279" s="31"/>
      <c r="C279" s="35"/>
      <c r="D279" s="33"/>
      <c r="E279" s="31"/>
      <c r="F279" s="31"/>
      <c r="G279" s="37">
        <f>IF(F279="","",IF(ISNA(MATCH(F279,'Item master'!$A$2:$A$301,0)),"Not in Item master",IFERROR(INDEX('Item master'!$B$2:$B$301,MATCH(F279,'Item master'!$A$2:$A$301,0))&amp;"","")))</f>
      </c>
      <c r="H279" s="34"/>
      <c r="I279" s="31"/>
      <c r="J279" s="31"/>
      <c r="K279" s="33"/>
      <c r="L279" s="31"/>
      <c r="M279" s="35"/>
      <c r="N279" s="30"/>
      <c r="O279" s="30"/>
      <c r="P279" s="36"/>
      <c r="Q279" s="38">
        <f>IF(OR(C279&lt;&gt;"loan",E279=""),"",IF(ISNA(MATCH(E279,Units!$A$2:$A$501,0)),"",IF(INDEX(Units!$E$2:$E$501,MATCH(E279,Units!$A$2:$A$501,0))="","",IF(K279="","No due date",IF(INT(K279)&gt;INDEX(Units!$E$2:$E$501,MATCH(E279,Units!$A$2:$A$501,0)),"Past cal date","OK")))))</f>
      </c>
      <c r="R279" s="37">
        <f>IF(A279="Overdue",K279+ROW()/10000000,"")</f>
      </c>
    </row>
    <row r="280">
      <c r="A280" s="38">
        <f>IF(C280="","",IF(B280="","Needs ID",IF(OR(C280="loan",C280="send_out"),IF(COUNTIF($L$2:$L$1001,B280)&gt;0,"Closed",IF(K280="","Open",IF(K280&lt;NOW(),"Overdue","Open"))),IF(C280="return",IF(OR(L280="",COUNTIF($B$2:$B$1001,L280)=0),"No match",IF(OR(M280="worn",M280="damaged"),"Quarantine","Returned")),IF(C280="issue","Issued",IF(C280="transfer","Moved",IF(C280="write_off","Written off",IF(C280="unfilled","Unfilled",""))))))))</f>
      </c>
      <c r="B280" s="31"/>
      <c r="C280" s="35"/>
      <c r="D280" s="33"/>
      <c r="E280" s="31"/>
      <c r="F280" s="31"/>
      <c r="G280" s="37">
        <f>IF(F280="","",IF(ISNA(MATCH(F280,'Item master'!$A$2:$A$301,0)),"Not in Item master",IFERROR(INDEX('Item master'!$B$2:$B$301,MATCH(F280,'Item master'!$A$2:$A$301,0))&amp;"","")))</f>
      </c>
      <c r="H280" s="34"/>
      <c r="I280" s="31"/>
      <c r="J280" s="31"/>
      <c r="K280" s="33"/>
      <c r="L280" s="31"/>
      <c r="M280" s="35"/>
      <c r="N280" s="30"/>
      <c r="O280" s="30"/>
      <c r="P280" s="36"/>
      <c r="Q280" s="38">
        <f>IF(OR(C280&lt;&gt;"loan",E280=""),"",IF(ISNA(MATCH(E280,Units!$A$2:$A$501,0)),"",IF(INDEX(Units!$E$2:$E$501,MATCH(E280,Units!$A$2:$A$501,0))="","",IF(K280="","No due date",IF(INT(K280)&gt;INDEX(Units!$E$2:$E$501,MATCH(E280,Units!$A$2:$A$501,0)),"Past cal date","OK")))))</f>
      </c>
      <c r="R280" s="37">
        <f>IF(A280="Overdue",K280+ROW()/10000000,"")</f>
      </c>
    </row>
    <row r="281">
      <c r="A281" s="38">
        <f>IF(C281="","",IF(B281="","Needs ID",IF(OR(C281="loan",C281="send_out"),IF(COUNTIF($L$2:$L$1001,B281)&gt;0,"Closed",IF(K281="","Open",IF(K281&lt;NOW(),"Overdue","Open"))),IF(C281="return",IF(OR(L281="",COUNTIF($B$2:$B$1001,L281)=0),"No match",IF(OR(M281="worn",M281="damaged"),"Quarantine","Returned")),IF(C281="issue","Issued",IF(C281="transfer","Moved",IF(C281="write_off","Written off",IF(C281="unfilled","Unfilled",""))))))))</f>
      </c>
      <c r="B281" s="31"/>
      <c r="C281" s="35"/>
      <c r="D281" s="33"/>
      <c r="E281" s="31"/>
      <c r="F281" s="31"/>
      <c r="G281" s="37">
        <f>IF(F281="","",IF(ISNA(MATCH(F281,'Item master'!$A$2:$A$301,0)),"Not in Item master",IFERROR(INDEX('Item master'!$B$2:$B$301,MATCH(F281,'Item master'!$A$2:$A$301,0))&amp;"","")))</f>
      </c>
      <c r="H281" s="34"/>
      <c r="I281" s="31"/>
      <c r="J281" s="31"/>
      <c r="K281" s="33"/>
      <c r="L281" s="31"/>
      <c r="M281" s="35"/>
      <c r="N281" s="30"/>
      <c r="O281" s="30"/>
      <c r="P281" s="36"/>
      <c r="Q281" s="38">
        <f>IF(OR(C281&lt;&gt;"loan",E281=""),"",IF(ISNA(MATCH(E281,Units!$A$2:$A$501,0)),"",IF(INDEX(Units!$E$2:$E$501,MATCH(E281,Units!$A$2:$A$501,0))="","",IF(K281="","No due date",IF(INT(K281)&gt;INDEX(Units!$E$2:$E$501,MATCH(E281,Units!$A$2:$A$501,0)),"Past cal date","OK")))))</f>
      </c>
      <c r="R281" s="37">
        <f>IF(A281="Overdue",K281+ROW()/10000000,"")</f>
      </c>
    </row>
    <row r="282">
      <c r="A282" s="38">
        <f>IF(C282="","",IF(B282="","Needs ID",IF(OR(C282="loan",C282="send_out"),IF(COUNTIF($L$2:$L$1001,B282)&gt;0,"Closed",IF(K282="","Open",IF(K282&lt;NOW(),"Overdue","Open"))),IF(C282="return",IF(OR(L282="",COUNTIF($B$2:$B$1001,L282)=0),"No match",IF(OR(M282="worn",M282="damaged"),"Quarantine","Returned")),IF(C282="issue","Issued",IF(C282="transfer","Moved",IF(C282="write_off","Written off",IF(C282="unfilled","Unfilled",""))))))))</f>
      </c>
      <c r="B282" s="31"/>
      <c r="C282" s="35"/>
      <c r="D282" s="33"/>
      <c r="E282" s="31"/>
      <c r="F282" s="31"/>
      <c r="G282" s="37">
        <f>IF(F282="","",IF(ISNA(MATCH(F282,'Item master'!$A$2:$A$301,0)),"Not in Item master",IFERROR(INDEX('Item master'!$B$2:$B$301,MATCH(F282,'Item master'!$A$2:$A$301,0))&amp;"","")))</f>
      </c>
      <c r="H282" s="34"/>
      <c r="I282" s="31"/>
      <c r="J282" s="31"/>
      <c r="K282" s="33"/>
      <c r="L282" s="31"/>
      <c r="M282" s="35"/>
      <c r="N282" s="30"/>
      <c r="O282" s="30"/>
      <c r="P282" s="36"/>
      <c r="Q282" s="38">
        <f>IF(OR(C282&lt;&gt;"loan",E282=""),"",IF(ISNA(MATCH(E282,Units!$A$2:$A$501,0)),"",IF(INDEX(Units!$E$2:$E$501,MATCH(E282,Units!$A$2:$A$501,0))="","",IF(K282="","No due date",IF(INT(K282)&gt;INDEX(Units!$E$2:$E$501,MATCH(E282,Units!$A$2:$A$501,0)),"Past cal date","OK")))))</f>
      </c>
      <c r="R282" s="37">
        <f>IF(A282="Overdue",K282+ROW()/10000000,"")</f>
      </c>
    </row>
    <row r="283">
      <c r="A283" s="38">
        <f>IF(C283="","",IF(B283="","Needs ID",IF(OR(C283="loan",C283="send_out"),IF(COUNTIF($L$2:$L$1001,B283)&gt;0,"Closed",IF(K283="","Open",IF(K283&lt;NOW(),"Overdue","Open"))),IF(C283="return",IF(OR(L283="",COUNTIF($B$2:$B$1001,L283)=0),"No match",IF(OR(M283="worn",M283="damaged"),"Quarantine","Returned")),IF(C283="issue","Issued",IF(C283="transfer","Moved",IF(C283="write_off","Written off",IF(C283="unfilled","Unfilled",""))))))))</f>
      </c>
      <c r="B283" s="31"/>
      <c r="C283" s="35"/>
      <c r="D283" s="33"/>
      <c r="E283" s="31"/>
      <c r="F283" s="31"/>
      <c r="G283" s="37">
        <f>IF(F283="","",IF(ISNA(MATCH(F283,'Item master'!$A$2:$A$301,0)),"Not in Item master",IFERROR(INDEX('Item master'!$B$2:$B$301,MATCH(F283,'Item master'!$A$2:$A$301,0))&amp;"","")))</f>
      </c>
      <c r="H283" s="34"/>
      <c r="I283" s="31"/>
      <c r="J283" s="31"/>
      <c r="K283" s="33"/>
      <c r="L283" s="31"/>
      <c r="M283" s="35"/>
      <c r="N283" s="30"/>
      <c r="O283" s="30"/>
      <c r="P283" s="36"/>
      <c r="Q283" s="38">
        <f>IF(OR(C283&lt;&gt;"loan",E283=""),"",IF(ISNA(MATCH(E283,Units!$A$2:$A$501,0)),"",IF(INDEX(Units!$E$2:$E$501,MATCH(E283,Units!$A$2:$A$501,0))="","",IF(K283="","No due date",IF(INT(K283)&gt;INDEX(Units!$E$2:$E$501,MATCH(E283,Units!$A$2:$A$501,0)),"Past cal date","OK")))))</f>
      </c>
      <c r="R283" s="37">
        <f>IF(A283="Overdue",K283+ROW()/10000000,"")</f>
      </c>
    </row>
    <row r="284">
      <c r="A284" s="38">
        <f>IF(C284="","",IF(B284="","Needs ID",IF(OR(C284="loan",C284="send_out"),IF(COUNTIF($L$2:$L$1001,B284)&gt;0,"Closed",IF(K284="","Open",IF(K284&lt;NOW(),"Overdue","Open"))),IF(C284="return",IF(OR(L284="",COUNTIF($B$2:$B$1001,L284)=0),"No match",IF(OR(M284="worn",M284="damaged"),"Quarantine","Returned")),IF(C284="issue","Issued",IF(C284="transfer","Moved",IF(C284="write_off","Written off",IF(C284="unfilled","Unfilled",""))))))))</f>
      </c>
      <c r="B284" s="31"/>
      <c r="C284" s="35"/>
      <c r="D284" s="33"/>
      <c r="E284" s="31"/>
      <c r="F284" s="31"/>
      <c r="G284" s="37">
        <f>IF(F284="","",IF(ISNA(MATCH(F284,'Item master'!$A$2:$A$301,0)),"Not in Item master",IFERROR(INDEX('Item master'!$B$2:$B$301,MATCH(F284,'Item master'!$A$2:$A$301,0))&amp;"","")))</f>
      </c>
      <c r="H284" s="34"/>
      <c r="I284" s="31"/>
      <c r="J284" s="31"/>
      <c r="K284" s="33"/>
      <c r="L284" s="31"/>
      <c r="M284" s="35"/>
      <c r="N284" s="30"/>
      <c r="O284" s="30"/>
      <c r="P284" s="36"/>
      <c r="Q284" s="38">
        <f>IF(OR(C284&lt;&gt;"loan",E284=""),"",IF(ISNA(MATCH(E284,Units!$A$2:$A$501,0)),"",IF(INDEX(Units!$E$2:$E$501,MATCH(E284,Units!$A$2:$A$501,0))="","",IF(K284="","No due date",IF(INT(K284)&gt;INDEX(Units!$E$2:$E$501,MATCH(E284,Units!$A$2:$A$501,0)),"Past cal date","OK")))))</f>
      </c>
      <c r="R284" s="37">
        <f>IF(A284="Overdue",K284+ROW()/10000000,"")</f>
      </c>
    </row>
    <row r="285">
      <c r="A285" s="38">
        <f>IF(C285="","",IF(B285="","Needs ID",IF(OR(C285="loan",C285="send_out"),IF(COUNTIF($L$2:$L$1001,B285)&gt;0,"Closed",IF(K285="","Open",IF(K285&lt;NOW(),"Overdue","Open"))),IF(C285="return",IF(OR(L285="",COUNTIF($B$2:$B$1001,L285)=0),"No match",IF(OR(M285="worn",M285="damaged"),"Quarantine","Returned")),IF(C285="issue","Issued",IF(C285="transfer","Moved",IF(C285="write_off","Written off",IF(C285="unfilled","Unfilled",""))))))))</f>
      </c>
      <c r="B285" s="31"/>
      <c r="C285" s="35"/>
      <c r="D285" s="33"/>
      <c r="E285" s="31"/>
      <c r="F285" s="31"/>
      <c r="G285" s="37">
        <f>IF(F285="","",IF(ISNA(MATCH(F285,'Item master'!$A$2:$A$301,0)),"Not in Item master",IFERROR(INDEX('Item master'!$B$2:$B$301,MATCH(F285,'Item master'!$A$2:$A$301,0))&amp;"","")))</f>
      </c>
      <c r="H285" s="34"/>
      <c r="I285" s="31"/>
      <c r="J285" s="31"/>
      <c r="K285" s="33"/>
      <c r="L285" s="31"/>
      <c r="M285" s="35"/>
      <c r="N285" s="30"/>
      <c r="O285" s="30"/>
      <c r="P285" s="36"/>
      <c r="Q285" s="38">
        <f>IF(OR(C285&lt;&gt;"loan",E285=""),"",IF(ISNA(MATCH(E285,Units!$A$2:$A$501,0)),"",IF(INDEX(Units!$E$2:$E$501,MATCH(E285,Units!$A$2:$A$501,0))="","",IF(K285="","No due date",IF(INT(K285)&gt;INDEX(Units!$E$2:$E$501,MATCH(E285,Units!$A$2:$A$501,0)),"Past cal date","OK")))))</f>
      </c>
      <c r="R285" s="37">
        <f>IF(A285="Overdue",K285+ROW()/10000000,"")</f>
      </c>
    </row>
    <row r="286">
      <c r="A286" s="38">
        <f>IF(C286="","",IF(B286="","Needs ID",IF(OR(C286="loan",C286="send_out"),IF(COUNTIF($L$2:$L$1001,B286)&gt;0,"Closed",IF(K286="","Open",IF(K286&lt;NOW(),"Overdue","Open"))),IF(C286="return",IF(OR(L286="",COUNTIF($B$2:$B$1001,L286)=0),"No match",IF(OR(M286="worn",M286="damaged"),"Quarantine","Returned")),IF(C286="issue","Issued",IF(C286="transfer","Moved",IF(C286="write_off","Written off",IF(C286="unfilled","Unfilled",""))))))))</f>
      </c>
      <c r="B286" s="31"/>
      <c r="C286" s="35"/>
      <c r="D286" s="33"/>
      <c r="E286" s="31"/>
      <c r="F286" s="31"/>
      <c r="G286" s="37">
        <f>IF(F286="","",IF(ISNA(MATCH(F286,'Item master'!$A$2:$A$301,0)),"Not in Item master",IFERROR(INDEX('Item master'!$B$2:$B$301,MATCH(F286,'Item master'!$A$2:$A$301,0))&amp;"","")))</f>
      </c>
      <c r="H286" s="34"/>
      <c r="I286" s="31"/>
      <c r="J286" s="31"/>
      <c r="K286" s="33"/>
      <c r="L286" s="31"/>
      <c r="M286" s="35"/>
      <c r="N286" s="30"/>
      <c r="O286" s="30"/>
      <c r="P286" s="36"/>
      <c r="Q286" s="38">
        <f>IF(OR(C286&lt;&gt;"loan",E286=""),"",IF(ISNA(MATCH(E286,Units!$A$2:$A$501,0)),"",IF(INDEX(Units!$E$2:$E$501,MATCH(E286,Units!$A$2:$A$501,0))="","",IF(K286="","No due date",IF(INT(K286)&gt;INDEX(Units!$E$2:$E$501,MATCH(E286,Units!$A$2:$A$501,0)),"Past cal date","OK")))))</f>
      </c>
      <c r="R286" s="37">
        <f>IF(A286="Overdue",K286+ROW()/10000000,"")</f>
      </c>
    </row>
    <row r="287">
      <c r="A287" s="38">
        <f>IF(C287="","",IF(B287="","Needs ID",IF(OR(C287="loan",C287="send_out"),IF(COUNTIF($L$2:$L$1001,B287)&gt;0,"Closed",IF(K287="","Open",IF(K287&lt;NOW(),"Overdue","Open"))),IF(C287="return",IF(OR(L287="",COUNTIF($B$2:$B$1001,L287)=0),"No match",IF(OR(M287="worn",M287="damaged"),"Quarantine","Returned")),IF(C287="issue","Issued",IF(C287="transfer","Moved",IF(C287="write_off","Written off",IF(C287="unfilled","Unfilled",""))))))))</f>
      </c>
      <c r="B287" s="31"/>
      <c r="C287" s="35"/>
      <c r="D287" s="33"/>
      <c r="E287" s="31"/>
      <c r="F287" s="31"/>
      <c r="G287" s="37">
        <f>IF(F287="","",IF(ISNA(MATCH(F287,'Item master'!$A$2:$A$301,0)),"Not in Item master",IFERROR(INDEX('Item master'!$B$2:$B$301,MATCH(F287,'Item master'!$A$2:$A$301,0))&amp;"","")))</f>
      </c>
      <c r="H287" s="34"/>
      <c r="I287" s="31"/>
      <c r="J287" s="31"/>
      <c r="K287" s="33"/>
      <c r="L287" s="31"/>
      <c r="M287" s="35"/>
      <c r="N287" s="30"/>
      <c r="O287" s="30"/>
      <c r="P287" s="36"/>
      <c r="Q287" s="38">
        <f>IF(OR(C287&lt;&gt;"loan",E287=""),"",IF(ISNA(MATCH(E287,Units!$A$2:$A$501,0)),"",IF(INDEX(Units!$E$2:$E$501,MATCH(E287,Units!$A$2:$A$501,0))="","",IF(K287="","No due date",IF(INT(K287)&gt;INDEX(Units!$E$2:$E$501,MATCH(E287,Units!$A$2:$A$501,0)),"Past cal date","OK")))))</f>
      </c>
      <c r="R287" s="37">
        <f>IF(A287="Overdue",K287+ROW()/10000000,"")</f>
      </c>
    </row>
    <row r="288">
      <c r="A288" s="38">
        <f>IF(C288="","",IF(B288="","Needs ID",IF(OR(C288="loan",C288="send_out"),IF(COUNTIF($L$2:$L$1001,B288)&gt;0,"Closed",IF(K288="","Open",IF(K288&lt;NOW(),"Overdue","Open"))),IF(C288="return",IF(OR(L288="",COUNTIF($B$2:$B$1001,L288)=0),"No match",IF(OR(M288="worn",M288="damaged"),"Quarantine","Returned")),IF(C288="issue","Issued",IF(C288="transfer","Moved",IF(C288="write_off","Written off",IF(C288="unfilled","Unfilled",""))))))))</f>
      </c>
      <c r="B288" s="31"/>
      <c r="C288" s="35"/>
      <c r="D288" s="33"/>
      <c r="E288" s="31"/>
      <c r="F288" s="31"/>
      <c r="G288" s="37">
        <f>IF(F288="","",IF(ISNA(MATCH(F288,'Item master'!$A$2:$A$301,0)),"Not in Item master",IFERROR(INDEX('Item master'!$B$2:$B$301,MATCH(F288,'Item master'!$A$2:$A$301,0))&amp;"","")))</f>
      </c>
      <c r="H288" s="34"/>
      <c r="I288" s="31"/>
      <c r="J288" s="31"/>
      <c r="K288" s="33"/>
      <c r="L288" s="31"/>
      <c r="M288" s="35"/>
      <c r="N288" s="30"/>
      <c r="O288" s="30"/>
      <c r="P288" s="36"/>
      <c r="Q288" s="38">
        <f>IF(OR(C288&lt;&gt;"loan",E288=""),"",IF(ISNA(MATCH(E288,Units!$A$2:$A$501,0)),"",IF(INDEX(Units!$E$2:$E$501,MATCH(E288,Units!$A$2:$A$501,0))="","",IF(K288="","No due date",IF(INT(K288)&gt;INDEX(Units!$E$2:$E$501,MATCH(E288,Units!$A$2:$A$501,0)),"Past cal date","OK")))))</f>
      </c>
      <c r="R288" s="37">
        <f>IF(A288="Overdue",K288+ROW()/10000000,"")</f>
      </c>
    </row>
    <row r="289">
      <c r="A289" s="38">
        <f>IF(C289="","",IF(B289="","Needs ID",IF(OR(C289="loan",C289="send_out"),IF(COUNTIF($L$2:$L$1001,B289)&gt;0,"Closed",IF(K289="","Open",IF(K289&lt;NOW(),"Overdue","Open"))),IF(C289="return",IF(OR(L289="",COUNTIF($B$2:$B$1001,L289)=0),"No match",IF(OR(M289="worn",M289="damaged"),"Quarantine","Returned")),IF(C289="issue","Issued",IF(C289="transfer","Moved",IF(C289="write_off","Written off",IF(C289="unfilled","Unfilled",""))))))))</f>
      </c>
      <c r="B289" s="31"/>
      <c r="C289" s="35"/>
      <c r="D289" s="33"/>
      <c r="E289" s="31"/>
      <c r="F289" s="31"/>
      <c r="G289" s="37">
        <f>IF(F289="","",IF(ISNA(MATCH(F289,'Item master'!$A$2:$A$301,0)),"Not in Item master",IFERROR(INDEX('Item master'!$B$2:$B$301,MATCH(F289,'Item master'!$A$2:$A$301,0))&amp;"","")))</f>
      </c>
      <c r="H289" s="34"/>
      <c r="I289" s="31"/>
      <c r="J289" s="31"/>
      <c r="K289" s="33"/>
      <c r="L289" s="31"/>
      <c r="M289" s="35"/>
      <c r="N289" s="30"/>
      <c r="O289" s="30"/>
      <c r="P289" s="36"/>
      <c r="Q289" s="38">
        <f>IF(OR(C289&lt;&gt;"loan",E289=""),"",IF(ISNA(MATCH(E289,Units!$A$2:$A$501,0)),"",IF(INDEX(Units!$E$2:$E$501,MATCH(E289,Units!$A$2:$A$501,0))="","",IF(K289="","No due date",IF(INT(K289)&gt;INDEX(Units!$E$2:$E$501,MATCH(E289,Units!$A$2:$A$501,0)),"Past cal date","OK")))))</f>
      </c>
      <c r="R289" s="37">
        <f>IF(A289="Overdue",K289+ROW()/10000000,"")</f>
      </c>
    </row>
    <row r="290">
      <c r="A290" s="38">
        <f>IF(C290="","",IF(B290="","Needs ID",IF(OR(C290="loan",C290="send_out"),IF(COUNTIF($L$2:$L$1001,B290)&gt;0,"Closed",IF(K290="","Open",IF(K290&lt;NOW(),"Overdue","Open"))),IF(C290="return",IF(OR(L290="",COUNTIF($B$2:$B$1001,L290)=0),"No match",IF(OR(M290="worn",M290="damaged"),"Quarantine","Returned")),IF(C290="issue","Issued",IF(C290="transfer","Moved",IF(C290="write_off","Written off",IF(C290="unfilled","Unfilled",""))))))))</f>
      </c>
      <c r="B290" s="31"/>
      <c r="C290" s="35"/>
      <c r="D290" s="33"/>
      <c r="E290" s="31"/>
      <c r="F290" s="31"/>
      <c r="G290" s="37">
        <f>IF(F290="","",IF(ISNA(MATCH(F290,'Item master'!$A$2:$A$301,0)),"Not in Item master",IFERROR(INDEX('Item master'!$B$2:$B$301,MATCH(F290,'Item master'!$A$2:$A$301,0))&amp;"","")))</f>
      </c>
      <c r="H290" s="34"/>
      <c r="I290" s="31"/>
      <c r="J290" s="31"/>
      <c r="K290" s="33"/>
      <c r="L290" s="31"/>
      <c r="M290" s="35"/>
      <c r="N290" s="30"/>
      <c r="O290" s="30"/>
      <c r="P290" s="36"/>
      <c r="Q290" s="38">
        <f>IF(OR(C290&lt;&gt;"loan",E290=""),"",IF(ISNA(MATCH(E290,Units!$A$2:$A$501,0)),"",IF(INDEX(Units!$E$2:$E$501,MATCH(E290,Units!$A$2:$A$501,0))="","",IF(K290="","No due date",IF(INT(K290)&gt;INDEX(Units!$E$2:$E$501,MATCH(E290,Units!$A$2:$A$501,0)),"Past cal date","OK")))))</f>
      </c>
      <c r="R290" s="37">
        <f>IF(A290="Overdue",K290+ROW()/10000000,"")</f>
      </c>
    </row>
    <row r="291">
      <c r="A291" s="38">
        <f>IF(C291="","",IF(B291="","Needs ID",IF(OR(C291="loan",C291="send_out"),IF(COUNTIF($L$2:$L$1001,B291)&gt;0,"Closed",IF(K291="","Open",IF(K291&lt;NOW(),"Overdue","Open"))),IF(C291="return",IF(OR(L291="",COUNTIF($B$2:$B$1001,L291)=0),"No match",IF(OR(M291="worn",M291="damaged"),"Quarantine","Returned")),IF(C291="issue","Issued",IF(C291="transfer","Moved",IF(C291="write_off","Written off",IF(C291="unfilled","Unfilled",""))))))))</f>
      </c>
      <c r="B291" s="31"/>
      <c r="C291" s="35"/>
      <c r="D291" s="33"/>
      <c r="E291" s="31"/>
      <c r="F291" s="31"/>
      <c r="G291" s="37">
        <f>IF(F291="","",IF(ISNA(MATCH(F291,'Item master'!$A$2:$A$301,0)),"Not in Item master",IFERROR(INDEX('Item master'!$B$2:$B$301,MATCH(F291,'Item master'!$A$2:$A$301,0))&amp;"","")))</f>
      </c>
      <c r="H291" s="34"/>
      <c r="I291" s="31"/>
      <c r="J291" s="31"/>
      <c r="K291" s="33"/>
      <c r="L291" s="31"/>
      <c r="M291" s="35"/>
      <c r="N291" s="30"/>
      <c r="O291" s="30"/>
      <c r="P291" s="36"/>
      <c r="Q291" s="38">
        <f>IF(OR(C291&lt;&gt;"loan",E291=""),"",IF(ISNA(MATCH(E291,Units!$A$2:$A$501,0)),"",IF(INDEX(Units!$E$2:$E$501,MATCH(E291,Units!$A$2:$A$501,0))="","",IF(K291="","No due date",IF(INT(K291)&gt;INDEX(Units!$E$2:$E$501,MATCH(E291,Units!$A$2:$A$501,0)),"Past cal date","OK")))))</f>
      </c>
      <c r="R291" s="37">
        <f>IF(A291="Overdue",K291+ROW()/10000000,"")</f>
      </c>
    </row>
    <row r="292">
      <c r="A292" s="38">
        <f>IF(C292="","",IF(B292="","Needs ID",IF(OR(C292="loan",C292="send_out"),IF(COUNTIF($L$2:$L$1001,B292)&gt;0,"Closed",IF(K292="","Open",IF(K292&lt;NOW(),"Overdue","Open"))),IF(C292="return",IF(OR(L292="",COUNTIF($B$2:$B$1001,L292)=0),"No match",IF(OR(M292="worn",M292="damaged"),"Quarantine","Returned")),IF(C292="issue","Issued",IF(C292="transfer","Moved",IF(C292="write_off","Written off",IF(C292="unfilled","Unfilled",""))))))))</f>
      </c>
      <c r="B292" s="31"/>
      <c r="C292" s="35"/>
      <c r="D292" s="33"/>
      <c r="E292" s="31"/>
      <c r="F292" s="31"/>
      <c r="G292" s="37">
        <f>IF(F292="","",IF(ISNA(MATCH(F292,'Item master'!$A$2:$A$301,0)),"Not in Item master",IFERROR(INDEX('Item master'!$B$2:$B$301,MATCH(F292,'Item master'!$A$2:$A$301,0))&amp;"","")))</f>
      </c>
      <c r="H292" s="34"/>
      <c r="I292" s="31"/>
      <c r="J292" s="31"/>
      <c r="K292" s="33"/>
      <c r="L292" s="31"/>
      <c r="M292" s="35"/>
      <c r="N292" s="30"/>
      <c r="O292" s="30"/>
      <c r="P292" s="36"/>
      <c r="Q292" s="38">
        <f>IF(OR(C292&lt;&gt;"loan",E292=""),"",IF(ISNA(MATCH(E292,Units!$A$2:$A$501,0)),"",IF(INDEX(Units!$E$2:$E$501,MATCH(E292,Units!$A$2:$A$501,0))="","",IF(K292="","No due date",IF(INT(K292)&gt;INDEX(Units!$E$2:$E$501,MATCH(E292,Units!$A$2:$A$501,0)),"Past cal date","OK")))))</f>
      </c>
      <c r="R292" s="37">
        <f>IF(A292="Overdue",K292+ROW()/10000000,"")</f>
      </c>
    </row>
    <row r="293">
      <c r="A293" s="38">
        <f>IF(C293="","",IF(B293="","Needs ID",IF(OR(C293="loan",C293="send_out"),IF(COUNTIF($L$2:$L$1001,B293)&gt;0,"Closed",IF(K293="","Open",IF(K293&lt;NOW(),"Overdue","Open"))),IF(C293="return",IF(OR(L293="",COUNTIF($B$2:$B$1001,L293)=0),"No match",IF(OR(M293="worn",M293="damaged"),"Quarantine","Returned")),IF(C293="issue","Issued",IF(C293="transfer","Moved",IF(C293="write_off","Written off",IF(C293="unfilled","Unfilled",""))))))))</f>
      </c>
      <c r="B293" s="31"/>
      <c r="C293" s="35"/>
      <c r="D293" s="33"/>
      <c r="E293" s="31"/>
      <c r="F293" s="31"/>
      <c r="G293" s="37">
        <f>IF(F293="","",IF(ISNA(MATCH(F293,'Item master'!$A$2:$A$301,0)),"Not in Item master",IFERROR(INDEX('Item master'!$B$2:$B$301,MATCH(F293,'Item master'!$A$2:$A$301,0))&amp;"","")))</f>
      </c>
      <c r="H293" s="34"/>
      <c r="I293" s="31"/>
      <c r="J293" s="31"/>
      <c r="K293" s="33"/>
      <c r="L293" s="31"/>
      <c r="M293" s="35"/>
      <c r="N293" s="30"/>
      <c r="O293" s="30"/>
      <c r="P293" s="36"/>
      <c r="Q293" s="38">
        <f>IF(OR(C293&lt;&gt;"loan",E293=""),"",IF(ISNA(MATCH(E293,Units!$A$2:$A$501,0)),"",IF(INDEX(Units!$E$2:$E$501,MATCH(E293,Units!$A$2:$A$501,0))="","",IF(K293="","No due date",IF(INT(K293)&gt;INDEX(Units!$E$2:$E$501,MATCH(E293,Units!$A$2:$A$501,0)),"Past cal date","OK")))))</f>
      </c>
      <c r="R293" s="37">
        <f>IF(A293="Overdue",K293+ROW()/10000000,"")</f>
      </c>
    </row>
    <row r="294">
      <c r="A294" s="38">
        <f>IF(C294="","",IF(B294="","Needs ID",IF(OR(C294="loan",C294="send_out"),IF(COUNTIF($L$2:$L$1001,B294)&gt;0,"Closed",IF(K294="","Open",IF(K294&lt;NOW(),"Overdue","Open"))),IF(C294="return",IF(OR(L294="",COUNTIF($B$2:$B$1001,L294)=0),"No match",IF(OR(M294="worn",M294="damaged"),"Quarantine","Returned")),IF(C294="issue","Issued",IF(C294="transfer","Moved",IF(C294="write_off","Written off",IF(C294="unfilled","Unfilled",""))))))))</f>
      </c>
      <c r="B294" s="31"/>
      <c r="C294" s="35"/>
      <c r="D294" s="33"/>
      <c r="E294" s="31"/>
      <c r="F294" s="31"/>
      <c r="G294" s="37">
        <f>IF(F294="","",IF(ISNA(MATCH(F294,'Item master'!$A$2:$A$301,0)),"Not in Item master",IFERROR(INDEX('Item master'!$B$2:$B$301,MATCH(F294,'Item master'!$A$2:$A$301,0))&amp;"","")))</f>
      </c>
      <c r="H294" s="34"/>
      <c r="I294" s="31"/>
      <c r="J294" s="31"/>
      <c r="K294" s="33"/>
      <c r="L294" s="31"/>
      <c r="M294" s="35"/>
      <c r="N294" s="30"/>
      <c r="O294" s="30"/>
      <c r="P294" s="36"/>
      <c r="Q294" s="38">
        <f>IF(OR(C294&lt;&gt;"loan",E294=""),"",IF(ISNA(MATCH(E294,Units!$A$2:$A$501,0)),"",IF(INDEX(Units!$E$2:$E$501,MATCH(E294,Units!$A$2:$A$501,0))="","",IF(K294="","No due date",IF(INT(K294)&gt;INDEX(Units!$E$2:$E$501,MATCH(E294,Units!$A$2:$A$501,0)),"Past cal date","OK")))))</f>
      </c>
      <c r="R294" s="37">
        <f>IF(A294="Overdue",K294+ROW()/10000000,"")</f>
      </c>
    </row>
    <row r="295">
      <c r="A295" s="38">
        <f>IF(C295="","",IF(B295="","Needs ID",IF(OR(C295="loan",C295="send_out"),IF(COUNTIF($L$2:$L$1001,B295)&gt;0,"Closed",IF(K295="","Open",IF(K295&lt;NOW(),"Overdue","Open"))),IF(C295="return",IF(OR(L295="",COUNTIF($B$2:$B$1001,L295)=0),"No match",IF(OR(M295="worn",M295="damaged"),"Quarantine","Returned")),IF(C295="issue","Issued",IF(C295="transfer","Moved",IF(C295="write_off","Written off",IF(C295="unfilled","Unfilled",""))))))))</f>
      </c>
      <c r="B295" s="31"/>
      <c r="C295" s="35"/>
      <c r="D295" s="33"/>
      <c r="E295" s="31"/>
      <c r="F295" s="31"/>
      <c r="G295" s="37">
        <f>IF(F295="","",IF(ISNA(MATCH(F295,'Item master'!$A$2:$A$301,0)),"Not in Item master",IFERROR(INDEX('Item master'!$B$2:$B$301,MATCH(F295,'Item master'!$A$2:$A$301,0))&amp;"","")))</f>
      </c>
      <c r="H295" s="34"/>
      <c r="I295" s="31"/>
      <c r="J295" s="31"/>
      <c r="K295" s="33"/>
      <c r="L295" s="31"/>
      <c r="M295" s="35"/>
      <c r="N295" s="30"/>
      <c r="O295" s="30"/>
      <c r="P295" s="36"/>
      <c r="Q295" s="38">
        <f>IF(OR(C295&lt;&gt;"loan",E295=""),"",IF(ISNA(MATCH(E295,Units!$A$2:$A$501,0)),"",IF(INDEX(Units!$E$2:$E$501,MATCH(E295,Units!$A$2:$A$501,0))="","",IF(K295="","No due date",IF(INT(K295)&gt;INDEX(Units!$E$2:$E$501,MATCH(E295,Units!$A$2:$A$501,0)),"Past cal date","OK")))))</f>
      </c>
      <c r="R295" s="37">
        <f>IF(A295="Overdue",K295+ROW()/10000000,"")</f>
      </c>
    </row>
    <row r="296">
      <c r="A296" s="38">
        <f>IF(C296="","",IF(B296="","Needs ID",IF(OR(C296="loan",C296="send_out"),IF(COUNTIF($L$2:$L$1001,B296)&gt;0,"Closed",IF(K296="","Open",IF(K296&lt;NOW(),"Overdue","Open"))),IF(C296="return",IF(OR(L296="",COUNTIF($B$2:$B$1001,L296)=0),"No match",IF(OR(M296="worn",M296="damaged"),"Quarantine","Returned")),IF(C296="issue","Issued",IF(C296="transfer","Moved",IF(C296="write_off","Written off",IF(C296="unfilled","Unfilled",""))))))))</f>
      </c>
      <c r="B296" s="31"/>
      <c r="C296" s="35"/>
      <c r="D296" s="33"/>
      <c r="E296" s="31"/>
      <c r="F296" s="31"/>
      <c r="G296" s="37">
        <f>IF(F296="","",IF(ISNA(MATCH(F296,'Item master'!$A$2:$A$301,0)),"Not in Item master",IFERROR(INDEX('Item master'!$B$2:$B$301,MATCH(F296,'Item master'!$A$2:$A$301,0))&amp;"","")))</f>
      </c>
      <c r="H296" s="34"/>
      <c r="I296" s="31"/>
      <c r="J296" s="31"/>
      <c r="K296" s="33"/>
      <c r="L296" s="31"/>
      <c r="M296" s="35"/>
      <c r="N296" s="30"/>
      <c r="O296" s="30"/>
      <c r="P296" s="36"/>
      <c r="Q296" s="38">
        <f>IF(OR(C296&lt;&gt;"loan",E296=""),"",IF(ISNA(MATCH(E296,Units!$A$2:$A$501,0)),"",IF(INDEX(Units!$E$2:$E$501,MATCH(E296,Units!$A$2:$A$501,0))="","",IF(K296="","No due date",IF(INT(K296)&gt;INDEX(Units!$E$2:$E$501,MATCH(E296,Units!$A$2:$A$501,0)),"Past cal date","OK")))))</f>
      </c>
      <c r="R296" s="37">
        <f>IF(A296="Overdue",K296+ROW()/10000000,"")</f>
      </c>
    </row>
    <row r="297">
      <c r="A297" s="38">
        <f>IF(C297="","",IF(B297="","Needs ID",IF(OR(C297="loan",C297="send_out"),IF(COUNTIF($L$2:$L$1001,B297)&gt;0,"Closed",IF(K297="","Open",IF(K297&lt;NOW(),"Overdue","Open"))),IF(C297="return",IF(OR(L297="",COUNTIF($B$2:$B$1001,L297)=0),"No match",IF(OR(M297="worn",M297="damaged"),"Quarantine","Returned")),IF(C297="issue","Issued",IF(C297="transfer","Moved",IF(C297="write_off","Written off",IF(C297="unfilled","Unfilled",""))))))))</f>
      </c>
      <c r="B297" s="31"/>
      <c r="C297" s="35"/>
      <c r="D297" s="33"/>
      <c r="E297" s="31"/>
      <c r="F297" s="31"/>
      <c r="G297" s="37">
        <f>IF(F297="","",IF(ISNA(MATCH(F297,'Item master'!$A$2:$A$301,0)),"Not in Item master",IFERROR(INDEX('Item master'!$B$2:$B$301,MATCH(F297,'Item master'!$A$2:$A$301,0))&amp;"","")))</f>
      </c>
      <c r="H297" s="34"/>
      <c r="I297" s="31"/>
      <c r="J297" s="31"/>
      <c r="K297" s="33"/>
      <c r="L297" s="31"/>
      <c r="M297" s="35"/>
      <c r="N297" s="30"/>
      <c r="O297" s="30"/>
      <c r="P297" s="36"/>
      <c r="Q297" s="38">
        <f>IF(OR(C297&lt;&gt;"loan",E297=""),"",IF(ISNA(MATCH(E297,Units!$A$2:$A$501,0)),"",IF(INDEX(Units!$E$2:$E$501,MATCH(E297,Units!$A$2:$A$501,0))="","",IF(K297="","No due date",IF(INT(K297)&gt;INDEX(Units!$E$2:$E$501,MATCH(E297,Units!$A$2:$A$501,0)),"Past cal date","OK")))))</f>
      </c>
      <c r="R297" s="37">
        <f>IF(A297="Overdue",K297+ROW()/10000000,"")</f>
      </c>
    </row>
    <row r="298">
      <c r="A298" s="38">
        <f>IF(C298="","",IF(B298="","Needs ID",IF(OR(C298="loan",C298="send_out"),IF(COUNTIF($L$2:$L$1001,B298)&gt;0,"Closed",IF(K298="","Open",IF(K298&lt;NOW(),"Overdue","Open"))),IF(C298="return",IF(OR(L298="",COUNTIF($B$2:$B$1001,L298)=0),"No match",IF(OR(M298="worn",M298="damaged"),"Quarantine","Returned")),IF(C298="issue","Issued",IF(C298="transfer","Moved",IF(C298="write_off","Written off",IF(C298="unfilled","Unfilled",""))))))))</f>
      </c>
      <c r="B298" s="31"/>
      <c r="C298" s="35"/>
      <c r="D298" s="33"/>
      <c r="E298" s="31"/>
      <c r="F298" s="31"/>
      <c r="G298" s="37">
        <f>IF(F298="","",IF(ISNA(MATCH(F298,'Item master'!$A$2:$A$301,0)),"Not in Item master",IFERROR(INDEX('Item master'!$B$2:$B$301,MATCH(F298,'Item master'!$A$2:$A$301,0))&amp;"","")))</f>
      </c>
      <c r="H298" s="34"/>
      <c r="I298" s="31"/>
      <c r="J298" s="31"/>
      <c r="K298" s="33"/>
      <c r="L298" s="31"/>
      <c r="M298" s="35"/>
      <c r="N298" s="30"/>
      <c r="O298" s="30"/>
      <c r="P298" s="36"/>
      <c r="Q298" s="38">
        <f>IF(OR(C298&lt;&gt;"loan",E298=""),"",IF(ISNA(MATCH(E298,Units!$A$2:$A$501,0)),"",IF(INDEX(Units!$E$2:$E$501,MATCH(E298,Units!$A$2:$A$501,0))="","",IF(K298="","No due date",IF(INT(K298)&gt;INDEX(Units!$E$2:$E$501,MATCH(E298,Units!$A$2:$A$501,0)),"Past cal date","OK")))))</f>
      </c>
      <c r="R298" s="37">
        <f>IF(A298="Overdue",K298+ROW()/10000000,"")</f>
      </c>
    </row>
    <row r="299">
      <c r="A299" s="38">
        <f>IF(C299="","",IF(B299="","Needs ID",IF(OR(C299="loan",C299="send_out"),IF(COUNTIF($L$2:$L$1001,B299)&gt;0,"Closed",IF(K299="","Open",IF(K299&lt;NOW(),"Overdue","Open"))),IF(C299="return",IF(OR(L299="",COUNTIF($B$2:$B$1001,L299)=0),"No match",IF(OR(M299="worn",M299="damaged"),"Quarantine","Returned")),IF(C299="issue","Issued",IF(C299="transfer","Moved",IF(C299="write_off","Written off",IF(C299="unfilled","Unfilled",""))))))))</f>
      </c>
      <c r="B299" s="31"/>
      <c r="C299" s="35"/>
      <c r="D299" s="33"/>
      <c r="E299" s="31"/>
      <c r="F299" s="31"/>
      <c r="G299" s="37">
        <f>IF(F299="","",IF(ISNA(MATCH(F299,'Item master'!$A$2:$A$301,0)),"Not in Item master",IFERROR(INDEX('Item master'!$B$2:$B$301,MATCH(F299,'Item master'!$A$2:$A$301,0))&amp;"","")))</f>
      </c>
      <c r="H299" s="34"/>
      <c r="I299" s="31"/>
      <c r="J299" s="31"/>
      <c r="K299" s="33"/>
      <c r="L299" s="31"/>
      <c r="M299" s="35"/>
      <c r="N299" s="30"/>
      <c r="O299" s="30"/>
      <c r="P299" s="36"/>
      <c r="Q299" s="38">
        <f>IF(OR(C299&lt;&gt;"loan",E299=""),"",IF(ISNA(MATCH(E299,Units!$A$2:$A$501,0)),"",IF(INDEX(Units!$E$2:$E$501,MATCH(E299,Units!$A$2:$A$501,0))="","",IF(K299="","No due date",IF(INT(K299)&gt;INDEX(Units!$E$2:$E$501,MATCH(E299,Units!$A$2:$A$501,0)),"Past cal date","OK")))))</f>
      </c>
      <c r="R299" s="37">
        <f>IF(A299="Overdue",K299+ROW()/10000000,"")</f>
      </c>
    </row>
    <row r="300">
      <c r="A300" s="38">
        <f>IF(C300="","",IF(B300="","Needs ID",IF(OR(C300="loan",C300="send_out"),IF(COUNTIF($L$2:$L$1001,B300)&gt;0,"Closed",IF(K300="","Open",IF(K300&lt;NOW(),"Overdue","Open"))),IF(C300="return",IF(OR(L300="",COUNTIF($B$2:$B$1001,L300)=0),"No match",IF(OR(M300="worn",M300="damaged"),"Quarantine","Returned")),IF(C300="issue","Issued",IF(C300="transfer","Moved",IF(C300="write_off","Written off",IF(C300="unfilled","Unfilled",""))))))))</f>
      </c>
      <c r="B300" s="31"/>
      <c r="C300" s="35"/>
      <c r="D300" s="33"/>
      <c r="E300" s="31"/>
      <c r="F300" s="31"/>
      <c r="G300" s="37">
        <f>IF(F300="","",IF(ISNA(MATCH(F300,'Item master'!$A$2:$A$301,0)),"Not in Item master",IFERROR(INDEX('Item master'!$B$2:$B$301,MATCH(F300,'Item master'!$A$2:$A$301,0))&amp;"","")))</f>
      </c>
      <c r="H300" s="34"/>
      <c r="I300" s="31"/>
      <c r="J300" s="31"/>
      <c r="K300" s="33"/>
      <c r="L300" s="31"/>
      <c r="M300" s="35"/>
      <c r="N300" s="30"/>
      <c r="O300" s="30"/>
      <c r="P300" s="36"/>
      <c r="Q300" s="38">
        <f>IF(OR(C300&lt;&gt;"loan",E300=""),"",IF(ISNA(MATCH(E300,Units!$A$2:$A$501,0)),"",IF(INDEX(Units!$E$2:$E$501,MATCH(E300,Units!$A$2:$A$501,0))="","",IF(K300="","No due date",IF(INT(K300)&gt;INDEX(Units!$E$2:$E$501,MATCH(E300,Units!$A$2:$A$501,0)),"Past cal date","OK")))))</f>
      </c>
      <c r="R300" s="37">
        <f>IF(A300="Overdue",K300+ROW()/10000000,"")</f>
      </c>
    </row>
    <row r="301">
      <c r="A301" s="38">
        <f>IF(C301="","",IF(B301="","Needs ID",IF(OR(C301="loan",C301="send_out"),IF(COUNTIF($L$2:$L$1001,B301)&gt;0,"Closed",IF(K301="","Open",IF(K301&lt;NOW(),"Overdue","Open"))),IF(C301="return",IF(OR(L301="",COUNTIF($B$2:$B$1001,L301)=0),"No match",IF(OR(M301="worn",M301="damaged"),"Quarantine","Returned")),IF(C301="issue","Issued",IF(C301="transfer","Moved",IF(C301="write_off","Written off",IF(C301="unfilled","Unfilled",""))))))))</f>
      </c>
      <c r="B301" s="31"/>
      <c r="C301" s="35"/>
      <c r="D301" s="33"/>
      <c r="E301" s="31"/>
      <c r="F301" s="31"/>
      <c r="G301" s="37">
        <f>IF(F301="","",IF(ISNA(MATCH(F301,'Item master'!$A$2:$A$301,0)),"Not in Item master",IFERROR(INDEX('Item master'!$B$2:$B$301,MATCH(F301,'Item master'!$A$2:$A$301,0))&amp;"","")))</f>
      </c>
      <c r="H301" s="34"/>
      <c r="I301" s="31"/>
      <c r="J301" s="31"/>
      <c r="K301" s="33"/>
      <c r="L301" s="31"/>
      <c r="M301" s="35"/>
      <c r="N301" s="30"/>
      <c r="O301" s="30"/>
      <c r="P301" s="36"/>
      <c r="Q301" s="38">
        <f>IF(OR(C301&lt;&gt;"loan",E301=""),"",IF(ISNA(MATCH(E301,Units!$A$2:$A$501,0)),"",IF(INDEX(Units!$E$2:$E$501,MATCH(E301,Units!$A$2:$A$501,0))="","",IF(K301="","No due date",IF(INT(K301)&gt;INDEX(Units!$E$2:$E$501,MATCH(E301,Units!$A$2:$A$501,0)),"Past cal date","OK")))))</f>
      </c>
      <c r="R301" s="37">
        <f>IF(A301="Overdue",K301+ROW()/10000000,"")</f>
      </c>
    </row>
    <row r="302">
      <c r="A302" s="38">
        <f>IF(C302="","",IF(B302="","Needs ID",IF(OR(C302="loan",C302="send_out"),IF(COUNTIF($L$2:$L$1001,B302)&gt;0,"Closed",IF(K302="","Open",IF(K302&lt;NOW(),"Overdue","Open"))),IF(C302="return",IF(OR(L302="",COUNTIF($B$2:$B$1001,L302)=0),"No match",IF(OR(M302="worn",M302="damaged"),"Quarantine","Returned")),IF(C302="issue","Issued",IF(C302="transfer","Moved",IF(C302="write_off","Written off",IF(C302="unfilled","Unfilled",""))))))))</f>
      </c>
      <c r="B302" s="31"/>
      <c r="C302" s="35"/>
      <c r="D302" s="33"/>
      <c r="E302" s="31"/>
      <c r="F302" s="31"/>
      <c r="G302" s="37">
        <f>IF(F302="","",IF(ISNA(MATCH(F302,'Item master'!$A$2:$A$301,0)),"Not in Item master",IFERROR(INDEX('Item master'!$B$2:$B$301,MATCH(F302,'Item master'!$A$2:$A$301,0))&amp;"","")))</f>
      </c>
      <c r="H302" s="34"/>
      <c r="I302" s="31"/>
      <c r="J302" s="31"/>
      <c r="K302" s="33"/>
      <c r="L302" s="31"/>
      <c r="M302" s="35"/>
      <c r="N302" s="30"/>
      <c r="O302" s="30"/>
      <c r="P302" s="36"/>
      <c r="Q302" s="38">
        <f>IF(OR(C302&lt;&gt;"loan",E302=""),"",IF(ISNA(MATCH(E302,Units!$A$2:$A$501,0)),"",IF(INDEX(Units!$E$2:$E$501,MATCH(E302,Units!$A$2:$A$501,0))="","",IF(K302="","No due date",IF(INT(K302)&gt;INDEX(Units!$E$2:$E$501,MATCH(E302,Units!$A$2:$A$501,0)),"Past cal date","OK")))))</f>
      </c>
      <c r="R302" s="37">
        <f>IF(A302="Overdue",K302+ROW()/10000000,"")</f>
      </c>
    </row>
    <row r="303">
      <c r="A303" s="38">
        <f>IF(C303="","",IF(B303="","Needs ID",IF(OR(C303="loan",C303="send_out"),IF(COUNTIF($L$2:$L$1001,B303)&gt;0,"Closed",IF(K303="","Open",IF(K303&lt;NOW(),"Overdue","Open"))),IF(C303="return",IF(OR(L303="",COUNTIF($B$2:$B$1001,L303)=0),"No match",IF(OR(M303="worn",M303="damaged"),"Quarantine","Returned")),IF(C303="issue","Issued",IF(C303="transfer","Moved",IF(C303="write_off","Written off",IF(C303="unfilled","Unfilled",""))))))))</f>
      </c>
      <c r="B303" s="31"/>
      <c r="C303" s="35"/>
      <c r="D303" s="33"/>
      <c r="E303" s="31"/>
      <c r="F303" s="31"/>
      <c r="G303" s="37">
        <f>IF(F303="","",IF(ISNA(MATCH(F303,'Item master'!$A$2:$A$301,0)),"Not in Item master",IFERROR(INDEX('Item master'!$B$2:$B$301,MATCH(F303,'Item master'!$A$2:$A$301,0))&amp;"","")))</f>
      </c>
      <c r="H303" s="34"/>
      <c r="I303" s="31"/>
      <c r="J303" s="31"/>
      <c r="K303" s="33"/>
      <c r="L303" s="31"/>
      <c r="M303" s="35"/>
      <c r="N303" s="30"/>
      <c r="O303" s="30"/>
      <c r="P303" s="36"/>
      <c r="Q303" s="38">
        <f>IF(OR(C303&lt;&gt;"loan",E303=""),"",IF(ISNA(MATCH(E303,Units!$A$2:$A$501,0)),"",IF(INDEX(Units!$E$2:$E$501,MATCH(E303,Units!$A$2:$A$501,0))="","",IF(K303="","No due date",IF(INT(K303)&gt;INDEX(Units!$E$2:$E$501,MATCH(E303,Units!$A$2:$A$501,0)),"Past cal date","OK")))))</f>
      </c>
      <c r="R303" s="37">
        <f>IF(A303="Overdue",K303+ROW()/10000000,"")</f>
      </c>
    </row>
    <row r="304">
      <c r="A304" s="38">
        <f>IF(C304="","",IF(B304="","Needs ID",IF(OR(C304="loan",C304="send_out"),IF(COUNTIF($L$2:$L$1001,B304)&gt;0,"Closed",IF(K304="","Open",IF(K304&lt;NOW(),"Overdue","Open"))),IF(C304="return",IF(OR(L304="",COUNTIF($B$2:$B$1001,L304)=0),"No match",IF(OR(M304="worn",M304="damaged"),"Quarantine","Returned")),IF(C304="issue","Issued",IF(C304="transfer","Moved",IF(C304="write_off","Written off",IF(C304="unfilled","Unfilled",""))))))))</f>
      </c>
      <c r="B304" s="31"/>
      <c r="C304" s="35"/>
      <c r="D304" s="33"/>
      <c r="E304" s="31"/>
      <c r="F304" s="31"/>
      <c r="G304" s="37">
        <f>IF(F304="","",IF(ISNA(MATCH(F304,'Item master'!$A$2:$A$301,0)),"Not in Item master",IFERROR(INDEX('Item master'!$B$2:$B$301,MATCH(F304,'Item master'!$A$2:$A$301,0))&amp;"","")))</f>
      </c>
      <c r="H304" s="34"/>
      <c r="I304" s="31"/>
      <c r="J304" s="31"/>
      <c r="K304" s="33"/>
      <c r="L304" s="31"/>
      <c r="M304" s="35"/>
      <c r="N304" s="30"/>
      <c r="O304" s="30"/>
      <c r="P304" s="36"/>
      <c r="Q304" s="38">
        <f>IF(OR(C304&lt;&gt;"loan",E304=""),"",IF(ISNA(MATCH(E304,Units!$A$2:$A$501,0)),"",IF(INDEX(Units!$E$2:$E$501,MATCH(E304,Units!$A$2:$A$501,0))="","",IF(K304="","No due date",IF(INT(K304)&gt;INDEX(Units!$E$2:$E$501,MATCH(E304,Units!$A$2:$A$501,0)),"Past cal date","OK")))))</f>
      </c>
      <c r="R304" s="37">
        <f>IF(A304="Overdue",K304+ROW()/10000000,"")</f>
      </c>
    </row>
    <row r="305">
      <c r="A305" s="38">
        <f>IF(C305="","",IF(B305="","Needs ID",IF(OR(C305="loan",C305="send_out"),IF(COUNTIF($L$2:$L$1001,B305)&gt;0,"Closed",IF(K305="","Open",IF(K305&lt;NOW(),"Overdue","Open"))),IF(C305="return",IF(OR(L305="",COUNTIF($B$2:$B$1001,L305)=0),"No match",IF(OR(M305="worn",M305="damaged"),"Quarantine","Returned")),IF(C305="issue","Issued",IF(C305="transfer","Moved",IF(C305="write_off","Written off",IF(C305="unfilled","Unfilled",""))))))))</f>
      </c>
      <c r="B305" s="31"/>
      <c r="C305" s="35"/>
      <c r="D305" s="33"/>
      <c r="E305" s="31"/>
      <c r="F305" s="31"/>
      <c r="G305" s="37">
        <f>IF(F305="","",IF(ISNA(MATCH(F305,'Item master'!$A$2:$A$301,0)),"Not in Item master",IFERROR(INDEX('Item master'!$B$2:$B$301,MATCH(F305,'Item master'!$A$2:$A$301,0))&amp;"","")))</f>
      </c>
      <c r="H305" s="34"/>
      <c r="I305" s="31"/>
      <c r="J305" s="31"/>
      <c r="K305" s="33"/>
      <c r="L305" s="31"/>
      <c r="M305" s="35"/>
      <c r="N305" s="30"/>
      <c r="O305" s="30"/>
      <c r="P305" s="36"/>
      <c r="Q305" s="38">
        <f>IF(OR(C305&lt;&gt;"loan",E305=""),"",IF(ISNA(MATCH(E305,Units!$A$2:$A$501,0)),"",IF(INDEX(Units!$E$2:$E$501,MATCH(E305,Units!$A$2:$A$501,0))="","",IF(K305="","No due date",IF(INT(K305)&gt;INDEX(Units!$E$2:$E$501,MATCH(E305,Units!$A$2:$A$501,0)),"Past cal date","OK")))))</f>
      </c>
      <c r="R305" s="37">
        <f>IF(A305="Overdue",K305+ROW()/10000000,"")</f>
      </c>
    </row>
    <row r="306">
      <c r="A306" s="38">
        <f>IF(C306="","",IF(B306="","Needs ID",IF(OR(C306="loan",C306="send_out"),IF(COUNTIF($L$2:$L$1001,B306)&gt;0,"Closed",IF(K306="","Open",IF(K306&lt;NOW(),"Overdue","Open"))),IF(C306="return",IF(OR(L306="",COUNTIF($B$2:$B$1001,L306)=0),"No match",IF(OR(M306="worn",M306="damaged"),"Quarantine","Returned")),IF(C306="issue","Issued",IF(C306="transfer","Moved",IF(C306="write_off","Written off",IF(C306="unfilled","Unfilled",""))))))))</f>
      </c>
      <c r="B306" s="31"/>
      <c r="C306" s="35"/>
      <c r="D306" s="33"/>
      <c r="E306" s="31"/>
      <c r="F306" s="31"/>
      <c r="G306" s="37">
        <f>IF(F306="","",IF(ISNA(MATCH(F306,'Item master'!$A$2:$A$301,0)),"Not in Item master",IFERROR(INDEX('Item master'!$B$2:$B$301,MATCH(F306,'Item master'!$A$2:$A$301,0))&amp;"","")))</f>
      </c>
      <c r="H306" s="34"/>
      <c r="I306" s="31"/>
      <c r="J306" s="31"/>
      <c r="K306" s="33"/>
      <c r="L306" s="31"/>
      <c r="M306" s="35"/>
      <c r="N306" s="30"/>
      <c r="O306" s="30"/>
      <c r="P306" s="36"/>
      <c r="Q306" s="38">
        <f>IF(OR(C306&lt;&gt;"loan",E306=""),"",IF(ISNA(MATCH(E306,Units!$A$2:$A$501,0)),"",IF(INDEX(Units!$E$2:$E$501,MATCH(E306,Units!$A$2:$A$501,0))="","",IF(K306="","No due date",IF(INT(K306)&gt;INDEX(Units!$E$2:$E$501,MATCH(E306,Units!$A$2:$A$501,0)),"Past cal date","OK")))))</f>
      </c>
      <c r="R306" s="37">
        <f>IF(A306="Overdue",K306+ROW()/10000000,"")</f>
      </c>
    </row>
    <row r="307">
      <c r="A307" s="38">
        <f>IF(C307="","",IF(B307="","Needs ID",IF(OR(C307="loan",C307="send_out"),IF(COUNTIF($L$2:$L$1001,B307)&gt;0,"Closed",IF(K307="","Open",IF(K307&lt;NOW(),"Overdue","Open"))),IF(C307="return",IF(OR(L307="",COUNTIF($B$2:$B$1001,L307)=0),"No match",IF(OR(M307="worn",M307="damaged"),"Quarantine","Returned")),IF(C307="issue","Issued",IF(C307="transfer","Moved",IF(C307="write_off","Written off",IF(C307="unfilled","Unfilled",""))))))))</f>
      </c>
      <c r="B307" s="31"/>
      <c r="C307" s="35"/>
      <c r="D307" s="33"/>
      <c r="E307" s="31"/>
      <c r="F307" s="31"/>
      <c r="G307" s="37">
        <f>IF(F307="","",IF(ISNA(MATCH(F307,'Item master'!$A$2:$A$301,0)),"Not in Item master",IFERROR(INDEX('Item master'!$B$2:$B$301,MATCH(F307,'Item master'!$A$2:$A$301,0))&amp;"","")))</f>
      </c>
      <c r="H307" s="34"/>
      <c r="I307" s="31"/>
      <c r="J307" s="31"/>
      <c r="K307" s="33"/>
      <c r="L307" s="31"/>
      <c r="M307" s="35"/>
      <c r="N307" s="30"/>
      <c r="O307" s="30"/>
      <c r="P307" s="36"/>
      <c r="Q307" s="38">
        <f>IF(OR(C307&lt;&gt;"loan",E307=""),"",IF(ISNA(MATCH(E307,Units!$A$2:$A$501,0)),"",IF(INDEX(Units!$E$2:$E$501,MATCH(E307,Units!$A$2:$A$501,0))="","",IF(K307="","No due date",IF(INT(K307)&gt;INDEX(Units!$E$2:$E$501,MATCH(E307,Units!$A$2:$A$501,0)),"Past cal date","OK")))))</f>
      </c>
      <c r="R307" s="37">
        <f>IF(A307="Overdue",K307+ROW()/10000000,"")</f>
      </c>
    </row>
    <row r="308">
      <c r="A308" s="38">
        <f>IF(C308="","",IF(B308="","Needs ID",IF(OR(C308="loan",C308="send_out"),IF(COUNTIF($L$2:$L$1001,B308)&gt;0,"Closed",IF(K308="","Open",IF(K308&lt;NOW(),"Overdue","Open"))),IF(C308="return",IF(OR(L308="",COUNTIF($B$2:$B$1001,L308)=0),"No match",IF(OR(M308="worn",M308="damaged"),"Quarantine","Returned")),IF(C308="issue","Issued",IF(C308="transfer","Moved",IF(C308="write_off","Written off",IF(C308="unfilled","Unfilled",""))))))))</f>
      </c>
      <c r="B308" s="31"/>
      <c r="C308" s="35"/>
      <c r="D308" s="33"/>
      <c r="E308" s="31"/>
      <c r="F308" s="31"/>
      <c r="G308" s="37">
        <f>IF(F308="","",IF(ISNA(MATCH(F308,'Item master'!$A$2:$A$301,0)),"Not in Item master",IFERROR(INDEX('Item master'!$B$2:$B$301,MATCH(F308,'Item master'!$A$2:$A$301,0))&amp;"","")))</f>
      </c>
      <c r="H308" s="34"/>
      <c r="I308" s="31"/>
      <c r="J308" s="31"/>
      <c r="K308" s="33"/>
      <c r="L308" s="31"/>
      <c r="M308" s="35"/>
      <c r="N308" s="30"/>
      <c r="O308" s="30"/>
      <c r="P308" s="36"/>
      <c r="Q308" s="38">
        <f>IF(OR(C308&lt;&gt;"loan",E308=""),"",IF(ISNA(MATCH(E308,Units!$A$2:$A$501,0)),"",IF(INDEX(Units!$E$2:$E$501,MATCH(E308,Units!$A$2:$A$501,0))="","",IF(K308="","No due date",IF(INT(K308)&gt;INDEX(Units!$E$2:$E$501,MATCH(E308,Units!$A$2:$A$501,0)),"Past cal date","OK")))))</f>
      </c>
      <c r="R308" s="37">
        <f>IF(A308="Overdue",K308+ROW()/10000000,"")</f>
      </c>
    </row>
    <row r="309">
      <c r="A309" s="38">
        <f>IF(C309="","",IF(B309="","Needs ID",IF(OR(C309="loan",C309="send_out"),IF(COUNTIF($L$2:$L$1001,B309)&gt;0,"Closed",IF(K309="","Open",IF(K309&lt;NOW(),"Overdue","Open"))),IF(C309="return",IF(OR(L309="",COUNTIF($B$2:$B$1001,L309)=0),"No match",IF(OR(M309="worn",M309="damaged"),"Quarantine","Returned")),IF(C309="issue","Issued",IF(C309="transfer","Moved",IF(C309="write_off","Written off",IF(C309="unfilled","Unfilled",""))))))))</f>
      </c>
      <c r="B309" s="31"/>
      <c r="C309" s="35"/>
      <c r="D309" s="33"/>
      <c r="E309" s="31"/>
      <c r="F309" s="31"/>
      <c r="G309" s="37">
        <f>IF(F309="","",IF(ISNA(MATCH(F309,'Item master'!$A$2:$A$301,0)),"Not in Item master",IFERROR(INDEX('Item master'!$B$2:$B$301,MATCH(F309,'Item master'!$A$2:$A$301,0))&amp;"","")))</f>
      </c>
      <c r="H309" s="34"/>
      <c r="I309" s="31"/>
      <c r="J309" s="31"/>
      <c r="K309" s="33"/>
      <c r="L309" s="31"/>
      <c r="M309" s="35"/>
      <c r="N309" s="30"/>
      <c r="O309" s="30"/>
      <c r="P309" s="36"/>
      <c r="Q309" s="38">
        <f>IF(OR(C309&lt;&gt;"loan",E309=""),"",IF(ISNA(MATCH(E309,Units!$A$2:$A$501,0)),"",IF(INDEX(Units!$E$2:$E$501,MATCH(E309,Units!$A$2:$A$501,0))="","",IF(K309="","No due date",IF(INT(K309)&gt;INDEX(Units!$E$2:$E$501,MATCH(E309,Units!$A$2:$A$501,0)),"Past cal date","OK")))))</f>
      </c>
      <c r="R309" s="37">
        <f>IF(A309="Overdue",K309+ROW()/10000000,"")</f>
      </c>
    </row>
    <row r="310">
      <c r="A310" s="38">
        <f>IF(C310="","",IF(B310="","Needs ID",IF(OR(C310="loan",C310="send_out"),IF(COUNTIF($L$2:$L$1001,B310)&gt;0,"Closed",IF(K310="","Open",IF(K310&lt;NOW(),"Overdue","Open"))),IF(C310="return",IF(OR(L310="",COUNTIF($B$2:$B$1001,L310)=0),"No match",IF(OR(M310="worn",M310="damaged"),"Quarantine","Returned")),IF(C310="issue","Issued",IF(C310="transfer","Moved",IF(C310="write_off","Written off",IF(C310="unfilled","Unfilled",""))))))))</f>
      </c>
      <c r="B310" s="31"/>
      <c r="C310" s="35"/>
      <c r="D310" s="33"/>
      <c r="E310" s="31"/>
      <c r="F310" s="31"/>
      <c r="G310" s="37">
        <f>IF(F310="","",IF(ISNA(MATCH(F310,'Item master'!$A$2:$A$301,0)),"Not in Item master",IFERROR(INDEX('Item master'!$B$2:$B$301,MATCH(F310,'Item master'!$A$2:$A$301,0))&amp;"","")))</f>
      </c>
      <c r="H310" s="34"/>
      <c r="I310" s="31"/>
      <c r="J310" s="31"/>
      <c r="K310" s="33"/>
      <c r="L310" s="31"/>
      <c r="M310" s="35"/>
      <c r="N310" s="30"/>
      <c r="O310" s="30"/>
      <c r="P310" s="36"/>
      <c r="Q310" s="38">
        <f>IF(OR(C310&lt;&gt;"loan",E310=""),"",IF(ISNA(MATCH(E310,Units!$A$2:$A$501,0)),"",IF(INDEX(Units!$E$2:$E$501,MATCH(E310,Units!$A$2:$A$501,0))="","",IF(K310="","No due date",IF(INT(K310)&gt;INDEX(Units!$E$2:$E$501,MATCH(E310,Units!$A$2:$A$501,0)),"Past cal date","OK")))))</f>
      </c>
      <c r="R310" s="37">
        <f>IF(A310="Overdue",K310+ROW()/10000000,"")</f>
      </c>
    </row>
    <row r="311">
      <c r="A311" s="38">
        <f>IF(C311="","",IF(B311="","Needs ID",IF(OR(C311="loan",C311="send_out"),IF(COUNTIF($L$2:$L$1001,B311)&gt;0,"Closed",IF(K311="","Open",IF(K311&lt;NOW(),"Overdue","Open"))),IF(C311="return",IF(OR(L311="",COUNTIF($B$2:$B$1001,L311)=0),"No match",IF(OR(M311="worn",M311="damaged"),"Quarantine","Returned")),IF(C311="issue","Issued",IF(C311="transfer","Moved",IF(C311="write_off","Written off",IF(C311="unfilled","Unfilled",""))))))))</f>
      </c>
      <c r="B311" s="31"/>
      <c r="C311" s="35"/>
      <c r="D311" s="33"/>
      <c r="E311" s="31"/>
      <c r="F311" s="31"/>
      <c r="G311" s="37">
        <f>IF(F311="","",IF(ISNA(MATCH(F311,'Item master'!$A$2:$A$301,0)),"Not in Item master",IFERROR(INDEX('Item master'!$B$2:$B$301,MATCH(F311,'Item master'!$A$2:$A$301,0))&amp;"","")))</f>
      </c>
      <c r="H311" s="34"/>
      <c r="I311" s="31"/>
      <c r="J311" s="31"/>
      <c r="K311" s="33"/>
      <c r="L311" s="31"/>
      <c r="M311" s="35"/>
      <c r="N311" s="30"/>
      <c r="O311" s="30"/>
      <c r="P311" s="36"/>
      <c r="Q311" s="38">
        <f>IF(OR(C311&lt;&gt;"loan",E311=""),"",IF(ISNA(MATCH(E311,Units!$A$2:$A$501,0)),"",IF(INDEX(Units!$E$2:$E$501,MATCH(E311,Units!$A$2:$A$501,0))="","",IF(K311="","No due date",IF(INT(K311)&gt;INDEX(Units!$E$2:$E$501,MATCH(E311,Units!$A$2:$A$501,0)),"Past cal date","OK")))))</f>
      </c>
      <c r="R311" s="37">
        <f>IF(A311="Overdue",K311+ROW()/10000000,"")</f>
      </c>
    </row>
    <row r="312">
      <c r="A312" s="38">
        <f>IF(C312="","",IF(B312="","Needs ID",IF(OR(C312="loan",C312="send_out"),IF(COUNTIF($L$2:$L$1001,B312)&gt;0,"Closed",IF(K312="","Open",IF(K312&lt;NOW(),"Overdue","Open"))),IF(C312="return",IF(OR(L312="",COUNTIF($B$2:$B$1001,L312)=0),"No match",IF(OR(M312="worn",M312="damaged"),"Quarantine","Returned")),IF(C312="issue","Issued",IF(C312="transfer","Moved",IF(C312="write_off","Written off",IF(C312="unfilled","Unfilled",""))))))))</f>
      </c>
      <c r="B312" s="31"/>
      <c r="C312" s="35"/>
      <c r="D312" s="33"/>
      <c r="E312" s="31"/>
      <c r="F312" s="31"/>
      <c r="G312" s="37">
        <f>IF(F312="","",IF(ISNA(MATCH(F312,'Item master'!$A$2:$A$301,0)),"Not in Item master",IFERROR(INDEX('Item master'!$B$2:$B$301,MATCH(F312,'Item master'!$A$2:$A$301,0))&amp;"","")))</f>
      </c>
      <c r="H312" s="34"/>
      <c r="I312" s="31"/>
      <c r="J312" s="31"/>
      <c r="K312" s="33"/>
      <c r="L312" s="31"/>
      <c r="M312" s="35"/>
      <c r="N312" s="30"/>
      <c r="O312" s="30"/>
      <c r="P312" s="36"/>
      <c r="Q312" s="38">
        <f>IF(OR(C312&lt;&gt;"loan",E312=""),"",IF(ISNA(MATCH(E312,Units!$A$2:$A$501,0)),"",IF(INDEX(Units!$E$2:$E$501,MATCH(E312,Units!$A$2:$A$501,0))="","",IF(K312="","No due date",IF(INT(K312)&gt;INDEX(Units!$E$2:$E$501,MATCH(E312,Units!$A$2:$A$501,0)),"Past cal date","OK")))))</f>
      </c>
      <c r="R312" s="37">
        <f>IF(A312="Overdue",K312+ROW()/10000000,"")</f>
      </c>
    </row>
    <row r="313">
      <c r="A313" s="38">
        <f>IF(C313="","",IF(B313="","Needs ID",IF(OR(C313="loan",C313="send_out"),IF(COUNTIF($L$2:$L$1001,B313)&gt;0,"Closed",IF(K313="","Open",IF(K313&lt;NOW(),"Overdue","Open"))),IF(C313="return",IF(OR(L313="",COUNTIF($B$2:$B$1001,L313)=0),"No match",IF(OR(M313="worn",M313="damaged"),"Quarantine","Returned")),IF(C313="issue","Issued",IF(C313="transfer","Moved",IF(C313="write_off","Written off",IF(C313="unfilled","Unfilled",""))))))))</f>
      </c>
      <c r="B313" s="31"/>
      <c r="C313" s="35"/>
      <c r="D313" s="33"/>
      <c r="E313" s="31"/>
      <c r="F313" s="31"/>
      <c r="G313" s="37">
        <f>IF(F313="","",IF(ISNA(MATCH(F313,'Item master'!$A$2:$A$301,0)),"Not in Item master",IFERROR(INDEX('Item master'!$B$2:$B$301,MATCH(F313,'Item master'!$A$2:$A$301,0))&amp;"","")))</f>
      </c>
      <c r="H313" s="34"/>
      <c r="I313" s="31"/>
      <c r="J313" s="31"/>
      <c r="K313" s="33"/>
      <c r="L313" s="31"/>
      <c r="M313" s="35"/>
      <c r="N313" s="30"/>
      <c r="O313" s="30"/>
      <c r="P313" s="36"/>
      <c r="Q313" s="38">
        <f>IF(OR(C313&lt;&gt;"loan",E313=""),"",IF(ISNA(MATCH(E313,Units!$A$2:$A$501,0)),"",IF(INDEX(Units!$E$2:$E$501,MATCH(E313,Units!$A$2:$A$501,0))="","",IF(K313="","No due date",IF(INT(K313)&gt;INDEX(Units!$E$2:$E$501,MATCH(E313,Units!$A$2:$A$501,0)),"Past cal date","OK")))))</f>
      </c>
      <c r="R313" s="37">
        <f>IF(A313="Overdue",K313+ROW()/10000000,"")</f>
      </c>
    </row>
    <row r="314">
      <c r="A314" s="38">
        <f>IF(C314="","",IF(B314="","Needs ID",IF(OR(C314="loan",C314="send_out"),IF(COUNTIF($L$2:$L$1001,B314)&gt;0,"Closed",IF(K314="","Open",IF(K314&lt;NOW(),"Overdue","Open"))),IF(C314="return",IF(OR(L314="",COUNTIF($B$2:$B$1001,L314)=0),"No match",IF(OR(M314="worn",M314="damaged"),"Quarantine","Returned")),IF(C314="issue","Issued",IF(C314="transfer","Moved",IF(C314="write_off","Written off",IF(C314="unfilled","Unfilled",""))))))))</f>
      </c>
      <c r="B314" s="31"/>
      <c r="C314" s="35"/>
      <c r="D314" s="33"/>
      <c r="E314" s="31"/>
      <c r="F314" s="31"/>
      <c r="G314" s="37">
        <f>IF(F314="","",IF(ISNA(MATCH(F314,'Item master'!$A$2:$A$301,0)),"Not in Item master",IFERROR(INDEX('Item master'!$B$2:$B$301,MATCH(F314,'Item master'!$A$2:$A$301,0))&amp;"","")))</f>
      </c>
      <c r="H314" s="34"/>
      <c r="I314" s="31"/>
      <c r="J314" s="31"/>
      <c r="K314" s="33"/>
      <c r="L314" s="31"/>
      <c r="M314" s="35"/>
      <c r="N314" s="30"/>
      <c r="O314" s="30"/>
      <c r="P314" s="36"/>
      <c r="Q314" s="38">
        <f>IF(OR(C314&lt;&gt;"loan",E314=""),"",IF(ISNA(MATCH(E314,Units!$A$2:$A$501,0)),"",IF(INDEX(Units!$E$2:$E$501,MATCH(E314,Units!$A$2:$A$501,0))="","",IF(K314="","No due date",IF(INT(K314)&gt;INDEX(Units!$E$2:$E$501,MATCH(E314,Units!$A$2:$A$501,0)),"Past cal date","OK")))))</f>
      </c>
      <c r="R314" s="37">
        <f>IF(A314="Overdue",K314+ROW()/10000000,"")</f>
      </c>
    </row>
    <row r="315">
      <c r="A315" s="38">
        <f>IF(C315="","",IF(B315="","Needs ID",IF(OR(C315="loan",C315="send_out"),IF(COUNTIF($L$2:$L$1001,B315)&gt;0,"Closed",IF(K315="","Open",IF(K315&lt;NOW(),"Overdue","Open"))),IF(C315="return",IF(OR(L315="",COUNTIF($B$2:$B$1001,L315)=0),"No match",IF(OR(M315="worn",M315="damaged"),"Quarantine","Returned")),IF(C315="issue","Issued",IF(C315="transfer","Moved",IF(C315="write_off","Written off",IF(C315="unfilled","Unfilled",""))))))))</f>
      </c>
      <c r="B315" s="31"/>
      <c r="C315" s="35"/>
      <c r="D315" s="33"/>
      <c r="E315" s="31"/>
      <c r="F315" s="31"/>
      <c r="G315" s="37">
        <f>IF(F315="","",IF(ISNA(MATCH(F315,'Item master'!$A$2:$A$301,0)),"Not in Item master",IFERROR(INDEX('Item master'!$B$2:$B$301,MATCH(F315,'Item master'!$A$2:$A$301,0))&amp;"","")))</f>
      </c>
      <c r="H315" s="34"/>
      <c r="I315" s="31"/>
      <c r="J315" s="31"/>
      <c r="K315" s="33"/>
      <c r="L315" s="31"/>
      <c r="M315" s="35"/>
      <c r="N315" s="30"/>
      <c r="O315" s="30"/>
      <c r="P315" s="36"/>
      <c r="Q315" s="38">
        <f>IF(OR(C315&lt;&gt;"loan",E315=""),"",IF(ISNA(MATCH(E315,Units!$A$2:$A$501,0)),"",IF(INDEX(Units!$E$2:$E$501,MATCH(E315,Units!$A$2:$A$501,0))="","",IF(K315="","No due date",IF(INT(K315)&gt;INDEX(Units!$E$2:$E$501,MATCH(E315,Units!$A$2:$A$501,0)),"Past cal date","OK")))))</f>
      </c>
      <c r="R315" s="37">
        <f>IF(A315="Overdue",K315+ROW()/10000000,"")</f>
      </c>
    </row>
    <row r="316">
      <c r="A316" s="38">
        <f>IF(C316="","",IF(B316="","Needs ID",IF(OR(C316="loan",C316="send_out"),IF(COUNTIF($L$2:$L$1001,B316)&gt;0,"Closed",IF(K316="","Open",IF(K316&lt;NOW(),"Overdue","Open"))),IF(C316="return",IF(OR(L316="",COUNTIF($B$2:$B$1001,L316)=0),"No match",IF(OR(M316="worn",M316="damaged"),"Quarantine","Returned")),IF(C316="issue","Issued",IF(C316="transfer","Moved",IF(C316="write_off","Written off",IF(C316="unfilled","Unfilled",""))))))))</f>
      </c>
      <c r="B316" s="31"/>
      <c r="C316" s="35"/>
      <c r="D316" s="33"/>
      <c r="E316" s="31"/>
      <c r="F316" s="31"/>
      <c r="G316" s="37">
        <f>IF(F316="","",IF(ISNA(MATCH(F316,'Item master'!$A$2:$A$301,0)),"Not in Item master",IFERROR(INDEX('Item master'!$B$2:$B$301,MATCH(F316,'Item master'!$A$2:$A$301,0))&amp;"","")))</f>
      </c>
      <c r="H316" s="34"/>
      <c r="I316" s="31"/>
      <c r="J316" s="31"/>
      <c r="K316" s="33"/>
      <c r="L316" s="31"/>
      <c r="M316" s="35"/>
      <c r="N316" s="30"/>
      <c r="O316" s="30"/>
      <c r="P316" s="36"/>
      <c r="Q316" s="38">
        <f>IF(OR(C316&lt;&gt;"loan",E316=""),"",IF(ISNA(MATCH(E316,Units!$A$2:$A$501,0)),"",IF(INDEX(Units!$E$2:$E$501,MATCH(E316,Units!$A$2:$A$501,0))="","",IF(K316="","No due date",IF(INT(K316)&gt;INDEX(Units!$E$2:$E$501,MATCH(E316,Units!$A$2:$A$501,0)),"Past cal date","OK")))))</f>
      </c>
      <c r="R316" s="37">
        <f>IF(A316="Overdue",K316+ROW()/10000000,"")</f>
      </c>
    </row>
    <row r="317">
      <c r="A317" s="38">
        <f>IF(C317="","",IF(B317="","Needs ID",IF(OR(C317="loan",C317="send_out"),IF(COUNTIF($L$2:$L$1001,B317)&gt;0,"Closed",IF(K317="","Open",IF(K317&lt;NOW(),"Overdue","Open"))),IF(C317="return",IF(OR(L317="",COUNTIF($B$2:$B$1001,L317)=0),"No match",IF(OR(M317="worn",M317="damaged"),"Quarantine","Returned")),IF(C317="issue","Issued",IF(C317="transfer","Moved",IF(C317="write_off","Written off",IF(C317="unfilled","Unfilled",""))))))))</f>
      </c>
      <c r="B317" s="31"/>
      <c r="C317" s="35"/>
      <c r="D317" s="33"/>
      <c r="E317" s="31"/>
      <c r="F317" s="31"/>
      <c r="G317" s="37">
        <f>IF(F317="","",IF(ISNA(MATCH(F317,'Item master'!$A$2:$A$301,0)),"Not in Item master",IFERROR(INDEX('Item master'!$B$2:$B$301,MATCH(F317,'Item master'!$A$2:$A$301,0))&amp;"","")))</f>
      </c>
      <c r="H317" s="34"/>
      <c r="I317" s="31"/>
      <c r="J317" s="31"/>
      <c r="K317" s="33"/>
      <c r="L317" s="31"/>
      <c r="M317" s="35"/>
      <c r="N317" s="30"/>
      <c r="O317" s="30"/>
      <c r="P317" s="36"/>
      <c r="Q317" s="38">
        <f>IF(OR(C317&lt;&gt;"loan",E317=""),"",IF(ISNA(MATCH(E317,Units!$A$2:$A$501,0)),"",IF(INDEX(Units!$E$2:$E$501,MATCH(E317,Units!$A$2:$A$501,0))="","",IF(K317="","No due date",IF(INT(K317)&gt;INDEX(Units!$E$2:$E$501,MATCH(E317,Units!$A$2:$A$501,0)),"Past cal date","OK")))))</f>
      </c>
      <c r="R317" s="37">
        <f>IF(A317="Overdue",K317+ROW()/10000000,"")</f>
      </c>
    </row>
    <row r="318">
      <c r="A318" s="38">
        <f>IF(C318="","",IF(B318="","Needs ID",IF(OR(C318="loan",C318="send_out"),IF(COUNTIF($L$2:$L$1001,B318)&gt;0,"Closed",IF(K318="","Open",IF(K318&lt;NOW(),"Overdue","Open"))),IF(C318="return",IF(OR(L318="",COUNTIF($B$2:$B$1001,L318)=0),"No match",IF(OR(M318="worn",M318="damaged"),"Quarantine","Returned")),IF(C318="issue","Issued",IF(C318="transfer","Moved",IF(C318="write_off","Written off",IF(C318="unfilled","Unfilled",""))))))))</f>
      </c>
      <c r="B318" s="31"/>
      <c r="C318" s="35"/>
      <c r="D318" s="33"/>
      <c r="E318" s="31"/>
      <c r="F318" s="31"/>
      <c r="G318" s="37">
        <f>IF(F318="","",IF(ISNA(MATCH(F318,'Item master'!$A$2:$A$301,0)),"Not in Item master",IFERROR(INDEX('Item master'!$B$2:$B$301,MATCH(F318,'Item master'!$A$2:$A$301,0))&amp;"","")))</f>
      </c>
      <c r="H318" s="34"/>
      <c r="I318" s="31"/>
      <c r="J318" s="31"/>
      <c r="K318" s="33"/>
      <c r="L318" s="31"/>
      <c r="M318" s="35"/>
      <c r="N318" s="30"/>
      <c r="O318" s="30"/>
      <c r="P318" s="36"/>
      <c r="Q318" s="38">
        <f>IF(OR(C318&lt;&gt;"loan",E318=""),"",IF(ISNA(MATCH(E318,Units!$A$2:$A$501,0)),"",IF(INDEX(Units!$E$2:$E$501,MATCH(E318,Units!$A$2:$A$501,0))="","",IF(K318="","No due date",IF(INT(K318)&gt;INDEX(Units!$E$2:$E$501,MATCH(E318,Units!$A$2:$A$501,0)),"Past cal date","OK")))))</f>
      </c>
      <c r="R318" s="37">
        <f>IF(A318="Overdue",K318+ROW()/10000000,"")</f>
      </c>
    </row>
    <row r="319">
      <c r="A319" s="38">
        <f>IF(C319="","",IF(B319="","Needs ID",IF(OR(C319="loan",C319="send_out"),IF(COUNTIF($L$2:$L$1001,B319)&gt;0,"Closed",IF(K319="","Open",IF(K319&lt;NOW(),"Overdue","Open"))),IF(C319="return",IF(OR(L319="",COUNTIF($B$2:$B$1001,L319)=0),"No match",IF(OR(M319="worn",M319="damaged"),"Quarantine","Returned")),IF(C319="issue","Issued",IF(C319="transfer","Moved",IF(C319="write_off","Written off",IF(C319="unfilled","Unfilled",""))))))))</f>
      </c>
      <c r="B319" s="31"/>
      <c r="C319" s="35"/>
      <c r="D319" s="33"/>
      <c r="E319" s="31"/>
      <c r="F319" s="31"/>
      <c r="G319" s="37">
        <f>IF(F319="","",IF(ISNA(MATCH(F319,'Item master'!$A$2:$A$301,0)),"Not in Item master",IFERROR(INDEX('Item master'!$B$2:$B$301,MATCH(F319,'Item master'!$A$2:$A$301,0))&amp;"","")))</f>
      </c>
      <c r="H319" s="34"/>
      <c r="I319" s="31"/>
      <c r="J319" s="31"/>
      <c r="K319" s="33"/>
      <c r="L319" s="31"/>
      <c r="M319" s="35"/>
      <c r="N319" s="30"/>
      <c r="O319" s="30"/>
      <c r="P319" s="36"/>
      <c r="Q319" s="38">
        <f>IF(OR(C319&lt;&gt;"loan",E319=""),"",IF(ISNA(MATCH(E319,Units!$A$2:$A$501,0)),"",IF(INDEX(Units!$E$2:$E$501,MATCH(E319,Units!$A$2:$A$501,0))="","",IF(K319="","No due date",IF(INT(K319)&gt;INDEX(Units!$E$2:$E$501,MATCH(E319,Units!$A$2:$A$501,0)),"Past cal date","OK")))))</f>
      </c>
      <c r="R319" s="37">
        <f>IF(A319="Overdue",K319+ROW()/10000000,"")</f>
      </c>
    </row>
    <row r="320">
      <c r="A320" s="38">
        <f>IF(C320="","",IF(B320="","Needs ID",IF(OR(C320="loan",C320="send_out"),IF(COUNTIF($L$2:$L$1001,B320)&gt;0,"Closed",IF(K320="","Open",IF(K320&lt;NOW(),"Overdue","Open"))),IF(C320="return",IF(OR(L320="",COUNTIF($B$2:$B$1001,L320)=0),"No match",IF(OR(M320="worn",M320="damaged"),"Quarantine","Returned")),IF(C320="issue","Issued",IF(C320="transfer","Moved",IF(C320="write_off","Written off",IF(C320="unfilled","Unfilled",""))))))))</f>
      </c>
      <c r="B320" s="31"/>
      <c r="C320" s="35"/>
      <c r="D320" s="33"/>
      <c r="E320" s="31"/>
      <c r="F320" s="31"/>
      <c r="G320" s="37">
        <f>IF(F320="","",IF(ISNA(MATCH(F320,'Item master'!$A$2:$A$301,0)),"Not in Item master",IFERROR(INDEX('Item master'!$B$2:$B$301,MATCH(F320,'Item master'!$A$2:$A$301,0))&amp;"","")))</f>
      </c>
      <c r="H320" s="34"/>
      <c r="I320" s="31"/>
      <c r="J320" s="31"/>
      <c r="K320" s="33"/>
      <c r="L320" s="31"/>
      <c r="M320" s="35"/>
      <c r="N320" s="30"/>
      <c r="O320" s="30"/>
      <c r="P320" s="36"/>
      <c r="Q320" s="38">
        <f>IF(OR(C320&lt;&gt;"loan",E320=""),"",IF(ISNA(MATCH(E320,Units!$A$2:$A$501,0)),"",IF(INDEX(Units!$E$2:$E$501,MATCH(E320,Units!$A$2:$A$501,0))="","",IF(K320="","No due date",IF(INT(K320)&gt;INDEX(Units!$E$2:$E$501,MATCH(E320,Units!$A$2:$A$501,0)),"Past cal date","OK")))))</f>
      </c>
      <c r="R320" s="37">
        <f>IF(A320="Overdue",K320+ROW()/10000000,"")</f>
      </c>
    </row>
    <row r="321">
      <c r="A321" s="38">
        <f>IF(C321="","",IF(B321="","Needs ID",IF(OR(C321="loan",C321="send_out"),IF(COUNTIF($L$2:$L$1001,B321)&gt;0,"Closed",IF(K321="","Open",IF(K321&lt;NOW(),"Overdue","Open"))),IF(C321="return",IF(OR(L321="",COUNTIF($B$2:$B$1001,L321)=0),"No match",IF(OR(M321="worn",M321="damaged"),"Quarantine","Returned")),IF(C321="issue","Issued",IF(C321="transfer","Moved",IF(C321="write_off","Written off",IF(C321="unfilled","Unfilled",""))))))))</f>
      </c>
      <c r="B321" s="31"/>
      <c r="C321" s="35"/>
      <c r="D321" s="33"/>
      <c r="E321" s="31"/>
      <c r="F321" s="31"/>
      <c r="G321" s="37">
        <f>IF(F321="","",IF(ISNA(MATCH(F321,'Item master'!$A$2:$A$301,0)),"Not in Item master",IFERROR(INDEX('Item master'!$B$2:$B$301,MATCH(F321,'Item master'!$A$2:$A$301,0))&amp;"","")))</f>
      </c>
      <c r="H321" s="34"/>
      <c r="I321" s="31"/>
      <c r="J321" s="31"/>
      <c r="K321" s="33"/>
      <c r="L321" s="31"/>
      <c r="M321" s="35"/>
      <c r="N321" s="30"/>
      <c r="O321" s="30"/>
      <c r="P321" s="36"/>
      <c r="Q321" s="38">
        <f>IF(OR(C321&lt;&gt;"loan",E321=""),"",IF(ISNA(MATCH(E321,Units!$A$2:$A$501,0)),"",IF(INDEX(Units!$E$2:$E$501,MATCH(E321,Units!$A$2:$A$501,0))="","",IF(K321="","No due date",IF(INT(K321)&gt;INDEX(Units!$E$2:$E$501,MATCH(E321,Units!$A$2:$A$501,0)),"Past cal date","OK")))))</f>
      </c>
      <c r="R321" s="37">
        <f>IF(A321="Overdue",K321+ROW()/10000000,"")</f>
      </c>
    </row>
    <row r="322">
      <c r="A322" s="38">
        <f>IF(C322="","",IF(B322="","Needs ID",IF(OR(C322="loan",C322="send_out"),IF(COUNTIF($L$2:$L$1001,B322)&gt;0,"Closed",IF(K322="","Open",IF(K322&lt;NOW(),"Overdue","Open"))),IF(C322="return",IF(OR(L322="",COUNTIF($B$2:$B$1001,L322)=0),"No match",IF(OR(M322="worn",M322="damaged"),"Quarantine","Returned")),IF(C322="issue","Issued",IF(C322="transfer","Moved",IF(C322="write_off","Written off",IF(C322="unfilled","Unfilled",""))))))))</f>
      </c>
      <c r="B322" s="31"/>
      <c r="C322" s="35"/>
      <c r="D322" s="33"/>
      <c r="E322" s="31"/>
      <c r="F322" s="31"/>
      <c r="G322" s="37">
        <f>IF(F322="","",IF(ISNA(MATCH(F322,'Item master'!$A$2:$A$301,0)),"Not in Item master",IFERROR(INDEX('Item master'!$B$2:$B$301,MATCH(F322,'Item master'!$A$2:$A$301,0))&amp;"","")))</f>
      </c>
      <c r="H322" s="34"/>
      <c r="I322" s="31"/>
      <c r="J322" s="31"/>
      <c r="K322" s="33"/>
      <c r="L322" s="31"/>
      <c r="M322" s="35"/>
      <c r="N322" s="30"/>
      <c r="O322" s="30"/>
      <c r="P322" s="36"/>
      <c r="Q322" s="38">
        <f>IF(OR(C322&lt;&gt;"loan",E322=""),"",IF(ISNA(MATCH(E322,Units!$A$2:$A$501,0)),"",IF(INDEX(Units!$E$2:$E$501,MATCH(E322,Units!$A$2:$A$501,0))="","",IF(K322="","No due date",IF(INT(K322)&gt;INDEX(Units!$E$2:$E$501,MATCH(E322,Units!$A$2:$A$501,0)),"Past cal date","OK")))))</f>
      </c>
      <c r="R322" s="37">
        <f>IF(A322="Overdue",K322+ROW()/10000000,"")</f>
      </c>
    </row>
    <row r="323">
      <c r="A323" s="38">
        <f>IF(C323="","",IF(B323="","Needs ID",IF(OR(C323="loan",C323="send_out"),IF(COUNTIF($L$2:$L$1001,B323)&gt;0,"Closed",IF(K323="","Open",IF(K323&lt;NOW(),"Overdue","Open"))),IF(C323="return",IF(OR(L323="",COUNTIF($B$2:$B$1001,L323)=0),"No match",IF(OR(M323="worn",M323="damaged"),"Quarantine","Returned")),IF(C323="issue","Issued",IF(C323="transfer","Moved",IF(C323="write_off","Written off",IF(C323="unfilled","Unfilled",""))))))))</f>
      </c>
      <c r="B323" s="31"/>
      <c r="C323" s="35"/>
      <c r="D323" s="33"/>
      <c r="E323" s="31"/>
      <c r="F323" s="31"/>
      <c r="G323" s="37">
        <f>IF(F323="","",IF(ISNA(MATCH(F323,'Item master'!$A$2:$A$301,0)),"Not in Item master",IFERROR(INDEX('Item master'!$B$2:$B$301,MATCH(F323,'Item master'!$A$2:$A$301,0))&amp;"","")))</f>
      </c>
      <c r="H323" s="34"/>
      <c r="I323" s="31"/>
      <c r="J323" s="31"/>
      <c r="K323" s="33"/>
      <c r="L323" s="31"/>
      <c r="M323" s="35"/>
      <c r="N323" s="30"/>
      <c r="O323" s="30"/>
      <c r="P323" s="36"/>
      <c r="Q323" s="38">
        <f>IF(OR(C323&lt;&gt;"loan",E323=""),"",IF(ISNA(MATCH(E323,Units!$A$2:$A$501,0)),"",IF(INDEX(Units!$E$2:$E$501,MATCH(E323,Units!$A$2:$A$501,0))="","",IF(K323="","No due date",IF(INT(K323)&gt;INDEX(Units!$E$2:$E$501,MATCH(E323,Units!$A$2:$A$501,0)),"Past cal date","OK")))))</f>
      </c>
      <c r="R323" s="37">
        <f>IF(A323="Overdue",K323+ROW()/10000000,"")</f>
      </c>
    </row>
    <row r="324">
      <c r="A324" s="38">
        <f>IF(C324="","",IF(B324="","Needs ID",IF(OR(C324="loan",C324="send_out"),IF(COUNTIF($L$2:$L$1001,B324)&gt;0,"Closed",IF(K324="","Open",IF(K324&lt;NOW(),"Overdue","Open"))),IF(C324="return",IF(OR(L324="",COUNTIF($B$2:$B$1001,L324)=0),"No match",IF(OR(M324="worn",M324="damaged"),"Quarantine","Returned")),IF(C324="issue","Issued",IF(C324="transfer","Moved",IF(C324="write_off","Written off",IF(C324="unfilled","Unfilled",""))))))))</f>
      </c>
      <c r="B324" s="31"/>
      <c r="C324" s="35"/>
      <c r="D324" s="33"/>
      <c r="E324" s="31"/>
      <c r="F324" s="31"/>
      <c r="G324" s="37">
        <f>IF(F324="","",IF(ISNA(MATCH(F324,'Item master'!$A$2:$A$301,0)),"Not in Item master",IFERROR(INDEX('Item master'!$B$2:$B$301,MATCH(F324,'Item master'!$A$2:$A$301,0))&amp;"","")))</f>
      </c>
      <c r="H324" s="34"/>
      <c r="I324" s="31"/>
      <c r="J324" s="31"/>
      <c r="K324" s="33"/>
      <c r="L324" s="31"/>
      <c r="M324" s="35"/>
      <c r="N324" s="30"/>
      <c r="O324" s="30"/>
      <c r="P324" s="36"/>
      <c r="Q324" s="38">
        <f>IF(OR(C324&lt;&gt;"loan",E324=""),"",IF(ISNA(MATCH(E324,Units!$A$2:$A$501,0)),"",IF(INDEX(Units!$E$2:$E$501,MATCH(E324,Units!$A$2:$A$501,0))="","",IF(K324="","No due date",IF(INT(K324)&gt;INDEX(Units!$E$2:$E$501,MATCH(E324,Units!$A$2:$A$501,0)),"Past cal date","OK")))))</f>
      </c>
      <c r="R324" s="37">
        <f>IF(A324="Overdue",K324+ROW()/10000000,"")</f>
      </c>
    </row>
    <row r="325">
      <c r="A325" s="38">
        <f>IF(C325="","",IF(B325="","Needs ID",IF(OR(C325="loan",C325="send_out"),IF(COUNTIF($L$2:$L$1001,B325)&gt;0,"Closed",IF(K325="","Open",IF(K325&lt;NOW(),"Overdue","Open"))),IF(C325="return",IF(OR(L325="",COUNTIF($B$2:$B$1001,L325)=0),"No match",IF(OR(M325="worn",M325="damaged"),"Quarantine","Returned")),IF(C325="issue","Issued",IF(C325="transfer","Moved",IF(C325="write_off","Written off",IF(C325="unfilled","Unfilled",""))))))))</f>
      </c>
      <c r="B325" s="31"/>
      <c r="C325" s="35"/>
      <c r="D325" s="33"/>
      <c r="E325" s="31"/>
      <c r="F325" s="31"/>
      <c r="G325" s="37">
        <f>IF(F325="","",IF(ISNA(MATCH(F325,'Item master'!$A$2:$A$301,0)),"Not in Item master",IFERROR(INDEX('Item master'!$B$2:$B$301,MATCH(F325,'Item master'!$A$2:$A$301,0))&amp;"","")))</f>
      </c>
      <c r="H325" s="34"/>
      <c r="I325" s="31"/>
      <c r="J325" s="31"/>
      <c r="K325" s="33"/>
      <c r="L325" s="31"/>
      <c r="M325" s="35"/>
      <c r="N325" s="30"/>
      <c r="O325" s="30"/>
      <c r="P325" s="36"/>
      <c r="Q325" s="38">
        <f>IF(OR(C325&lt;&gt;"loan",E325=""),"",IF(ISNA(MATCH(E325,Units!$A$2:$A$501,0)),"",IF(INDEX(Units!$E$2:$E$501,MATCH(E325,Units!$A$2:$A$501,0))="","",IF(K325="","No due date",IF(INT(K325)&gt;INDEX(Units!$E$2:$E$501,MATCH(E325,Units!$A$2:$A$501,0)),"Past cal date","OK")))))</f>
      </c>
      <c r="R325" s="37">
        <f>IF(A325="Overdue",K325+ROW()/10000000,"")</f>
      </c>
    </row>
    <row r="326">
      <c r="A326" s="38">
        <f>IF(C326="","",IF(B326="","Needs ID",IF(OR(C326="loan",C326="send_out"),IF(COUNTIF($L$2:$L$1001,B326)&gt;0,"Closed",IF(K326="","Open",IF(K326&lt;NOW(),"Overdue","Open"))),IF(C326="return",IF(OR(L326="",COUNTIF($B$2:$B$1001,L326)=0),"No match",IF(OR(M326="worn",M326="damaged"),"Quarantine","Returned")),IF(C326="issue","Issued",IF(C326="transfer","Moved",IF(C326="write_off","Written off",IF(C326="unfilled","Unfilled",""))))))))</f>
      </c>
      <c r="B326" s="31"/>
      <c r="C326" s="35"/>
      <c r="D326" s="33"/>
      <c r="E326" s="31"/>
      <c r="F326" s="31"/>
      <c r="G326" s="37">
        <f>IF(F326="","",IF(ISNA(MATCH(F326,'Item master'!$A$2:$A$301,0)),"Not in Item master",IFERROR(INDEX('Item master'!$B$2:$B$301,MATCH(F326,'Item master'!$A$2:$A$301,0))&amp;"","")))</f>
      </c>
      <c r="H326" s="34"/>
      <c r="I326" s="31"/>
      <c r="J326" s="31"/>
      <c r="K326" s="33"/>
      <c r="L326" s="31"/>
      <c r="M326" s="35"/>
      <c r="N326" s="30"/>
      <c r="O326" s="30"/>
      <c r="P326" s="36"/>
      <c r="Q326" s="38">
        <f>IF(OR(C326&lt;&gt;"loan",E326=""),"",IF(ISNA(MATCH(E326,Units!$A$2:$A$501,0)),"",IF(INDEX(Units!$E$2:$E$501,MATCH(E326,Units!$A$2:$A$501,0))="","",IF(K326="","No due date",IF(INT(K326)&gt;INDEX(Units!$E$2:$E$501,MATCH(E326,Units!$A$2:$A$501,0)),"Past cal date","OK")))))</f>
      </c>
      <c r="R326" s="37">
        <f>IF(A326="Overdue",K326+ROW()/10000000,"")</f>
      </c>
    </row>
    <row r="327">
      <c r="A327" s="38">
        <f>IF(C327="","",IF(B327="","Needs ID",IF(OR(C327="loan",C327="send_out"),IF(COUNTIF($L$2:$L$1001,B327)&gt;0,"Closed",IF(K327="","Open",IF(K327&lt;NOW(),"Overdue","Open"))),IF(C327="return",IF(OR(L327="",COUNTIF($B$2:$B$1001,L327)=0),"No match",IF(OR(M327="worn",M327="damaged"),"Quarantine","Returned")),IF(C327="issue","Issued",IF(C327="transfer","Moved",IF(C327="write_off","Written off",IF(C327="unfilled","Unfilled",""))))))))</f>
      </c>
      <c r="B327" s="31"/>
      <c r="C327" s="35"/>
      <c r="D327" s="33"/>
      <c r="E327" s="31"/>
      <c r="F327" s="31"/>
      <c r="G327" s="37">
        <f>IF(F327="","",IF(ISNA(MATCH(F327,'Item master'!$A$2:$A$301,0)),"Not in Item master",IFERROR(INDEX('Item master'!$B$2:$B$301,MATCH(F327,'Item master'!$A$2:$A$301,0))&amp;"","")))</f>
      </c>
      <c r="H327" s="34"/>
      <c r="I327" s="31"/>
      <c r="J327" s="31"/>
      <c r="K327" s="33"/>
      <c r="L327" s="31"/>
      <c r="M327" s="35"/>
      <c r="N327" s="30"/>
      <c r="O327" s="30"/>
      <c r="P327" s="36"/>
      <c r="Q327" s="38">
        <f>IF(OR(C327&lt;&gt;"loan",E327=""),"",IF(ISNA(MATCH(E327,Units!$A$2:$A$501,0)),"",IF(INDEX(Units!$E$2:$E$501,MATCH(E327,Units!$A$2:$A$501,0))="","",IF(K327="","No due date",IF(INT(K327)&gt;INDEX(Units!$E$2:$E$501,MATCH(E327,Units!$A$2:$A$501,0)),"Past cal date","OK")))))</f>
      </c>
      <c r="R327" s="37">
        <f>IF(A327="Overdue",K327+ROW()/10000000,"")</f>
      </c>
    </row>
    <row r="328">
      <c r="A328" s="38">
        <f>IF(C328="","",IF(B328="","Needs ID",IF(OR(C328="loan",C328="send_out"),IF(COUNTIF($L$2:$L$1001,B328)&gt;0,"Closed",IF(K328="","Open",IF(K328&lt;NOW(),"Overdue","Open"))),IF(C328="return",IF(OR(L328="",COUNTIF($B$2:$B$1001,L328)=0),"No match",IF(OR(M328="worn",M328="damaged"),"Quarantine","Returned")),IF(C328="issue","Issued",IF(C328="transfer","Moved",IF(C328="write_off","Written off",IF(C328="unfilled","Unfilled",""))))))))</f>
      </c>
      <c r="B328" s="31"/>
      <c r="C328" s="35"/>
      <c r="D328" s="33"/>
      <c r="E328" s="31"/>
      <c r="F328" s="31"/>
      <c r="G328" s="37">
        <f>IF(F328="","",IF(ISNA(MATCH(F328,'Item master'!$A$2:$A$301,0)),"Not in Item master",IFERROR(INDEX('Item master'!$B$2:$B$301,MATCH(F328,'Item master'!$A$2:$A$301,0))&amp;"","")))</f>
      </c>
      <c r="H328" s="34"/>
      <c r="I328" s="31"/>
      <c r="J328" s="31"/>
      <c r="K328" s="33"/>
      <c r="L328" s="31"/>
      <c r="M328" s="35"/>
      <c r="N328" s="30"/>
      <c r="O328" s="30"/>
      <c r="P328" s="36"/>
      <c r="Q328" s="38">
        <f>IF(OR(C328&lt;&gt;"loan",E328=""),"",IF(ISNA(MATCH(E328,Units!$A$2:$A$501,0)),"",IF(INDEX(Units!$E$2:$E$501,MATCH(E328,Units!$A$2:$A$501,0))="","",IF(K328="","No due date",IF(INT(K328)&gt;INDEX(Units!$E$2:$E$501,MATCH(E328,Units!$A$2:$A$501,0)),"Past cal date","OK")))))</f>
      </c>
      <c r="R328" s="37">
        <f>IF(A328="Overdue",K328+ROW()/10000000,"")</f>
      </c>
    </row>
    <row r="329">
      <c r="A329" s="38">
        <f>IF(C329="","",IF(B329="","Needs ID",IF(OR(C329="loan",C329="send_out"),IF(COUNTIF($L$2:$L$1001,B329)&gt;0,"Closed",IF(K329="","Open",IF(K329&lt;NOW(),"Overdue","Open"))),IF(C329="return",IF(OR(L329="",COUNTIF($B$2:$B$1001,L329)=0),"No match",IF(OR(M329="worn",M329="damaged"),"Quarantine","Returned")),IF(C329="issue","Issued",IF(C329="transfer","Moved",IF(C329="write_off","Written off",IF(C329="unfilled","Unfilled",""))))))))</f>
      </c>
      <c r="B329" s="31"/>
      <c r="C329" s="35"/>
      <c r="D329" s="33"/>
      <c r="E329" s="31"/>
      <c r="F329" s="31"/>
      <c r="G329" s="37">
        <f>IF(F329="","",IF(ISNA(MATCH(F329,'Item master'!$A$2:$A$301,0)),"Not in Item master",IFERROR(INDEX('Item master'!$B$2:$B$301,MATCH(F329,'Item master'!$A$2:$A$301,0))&amp;"","")))</f>
      </c>
      <c r="H329" s="34"/>
      <c r="I329" s="31"/>
      <c r="J329" s="31"/>
      <c r="K329" s="33"/>
      <c r="L329" s="31"/>
      <c r="M329" s="35"/>
      <c r="N329" s="30"/>
      <c r="O329" s="30"/>
      <c r="P329" s="36"/>
      <c r="Q329" s="38">
        <f>IF(OR(C329&lt;&gt;"loan",E329=""),"",IF(ISNA(MATCH(E329,Units!$A$2:$A$501,0)),"",IF(INDEX(Units!$E$2:$E$501,MATCH(E329,Units!$A$2:$A$501,0))="","",IF(K329="","No due date",IF(INT(K329)&gt;INDEX(Units!$E$2:$E$501,MATCH(E329,Units!$A$2:$A$501,0)),"Past cal date","OK")))))</f>
      </c>
      <c r="R329" s="37">
        <f>IF(A329="Overdue",K329+ROW()/10000000,"")</f>
      </c>
    </row>
    <row r="330">
      <c r="A330" s="38">
        <f>IF(C330="","",IF(B330="","Needs ID",IF(OR(C330="loan",C330="send_out"),IF(COUNTIF($L$2:$L$1001,B330)&gt;0,"Closed",IF(K330="","Open",IF(K330&lt;NOW(),"Overdue","Open"))),IF(C330="return",IF(OR(L330="",COUNTIF($B$2:$B$1001,L330)=0),"No match",IF(OR(M330="worn",M330="damaged"),"Quarantine","Returned")),IF(C330="issue","Issued",IF(C330="transfer","Moved",IF(C330="write_off","Written off",IF(C330="unfilled","Unfilled",""))))))))</f>
      </c>
      <c r="B330" s="31"/>
      <c r="C330" s="35"/>
      <c r="D330" s="33"/>
      <c r="E330" s="31"/>
      <c r="F330" s="31"/>
      <c r="G330" s="37">
        <f>IF(F330="","",IF(ISNA(MATCH(F330,'Item master'!$A$2:$A$301,0)),"Not in Item master",IFERROR(INDEX('Item master'!$B$2:$B$301,MATCH(F330,'Item master'!$A$2:$A$301,0))&amp;"","")))</f>
      </c>
      <c r="H330" s="34"/>
      <c r="I330" s="31"/>
      <c r="J330" s="31"/>
      <c r="K330" s="33"/>
      <c r="L330" s="31"/>
      <c r="M330" s="35"/>
      <c r="N330" s="30"/>
      <c r="O330" s="30"/>
      <c r="P330" s="36"/>
      <c r="Q330" s="38">
        <f>IF(OR(C330&lt;&gt;"loan",E330=""),"",IF(ISNA(MATCH(E330,Units!$A$2:$A$501,0)),"",IF(INDEX(Units!$E$2:$E$501,MATCH(E330,Units!$A$2:$A$501,0))="","",IF(K330="","No due date",IF(INT(K330)&gt;INDEX(Units!$E$2:$E$501,MATCH(E330,Units!$A$2:$A$501,0)),"Past cal date","OK")))))</f>
      </c>
      <c r="R330" s="37">
        <f>IF(A330="Overdue",K330+ROW()/10000000,"")</f>
      </c>
    </row>
    <row r="331">
      <c r="A331" s="38">
        <f>IF(C331="","",IF(B331="","Needs ID",IF(OR(C331="loan",C331="send_out"),IF(COUNTIF($L$2:$L$1001,B331)&gt;0,"Closed",IF(K331="","Open",IF(K331&lt;NOW(),"Overdue","Open"))),IF(C331="return",IF(OR(L331="",COUNTIF($B$2:$B$1001,L331)=0),"No match",IF(OR(M331="worn",M331="damaged"),"Quarantine","Returned")),IF(C331="issue","Issued",IF(C331="transfer","Moved",IF(C331="write_off","Written off",IF(C331="unfilled","Unfilled",""))))))))</f>
      </c>
      <c r="B331" s="31"/>
      <c r="C331" s="35"/>
      <c r="D331" s="33"/>
      <c r="E331" s="31"/>
      <c r="F331" s="31"/>
      <c r="G331" s="37">
        <f>IF(F331="","",IF(ISNA(MATCH(F331,'Item master'!$A$2:$A$301,0)),"Not in Item master",IFERROR(INDEX('Item master'!$B$2:$B$301,MATCH(F331,'Item master'!$A$2:$A$301,0))&amp;"","")))</f>
      </c>
      <c r="H331" s="34"/>
      <c r="I331" s="31"/>
      <c r="J331" s="31"/>
      <c r="K331" s="33"/>
      <c r="L331" s="31"/>
      <c r="M331" s="35"/>
      <c r="N331" s="30"/>
      <c r="O331" s="30"/>
      <c r="P331" s="36"/>
      <c r="Q331" s="38">
        <f>IF(OR(C331&lt;&gt;"loan",E331=""),"",IF(ISNA(MATCH(E331,Units!$A$2:$A$501,0)),"",IF(INDEX(Units!$E$2:$E$501,MATCH(E331,Units!$A$2:$A$501,0))="","",IF(K331="","No due date",IF(INT(K331)&gt;INDEX(Units!$E$2:$E$501,MATCH(E331,Units!$A$2:$A$501,0)),"Past cal date","OK")))))</f>
      </c>
      <c r="R331" s="37">
        <f>IF(A331="Overdue",K331+ROW()/10000000,"")</f>
      </c>
    </row>
    <row r="332">
      <c r="A332" s="38">
        <f>IF(C332="","",IF(B332="","Needs ID",IF(OR(C332="loan",C332="send_out"),IF(COUNTIF($L$2:$L$1001,B332)&gt;0,"Closed",IF(K332="","Open",IF(K332&lt;NOW(),"Overdue","Open"))),IF(C332="return",IF(OR(L332="",COUNTIF($B$2:$B$1001,L332)=0),"No match",IF(OR(M332="worn",M332="damaged"),"Quarantine","Returned")),IF(C332="issue","Issued",IF(C332="transfer","Moved",IF(C332="write_off","Written off",IF(C332="unfilled","Unfilled",""))))))))</f>
      </c>
      <c r="B332" s="31"/>
      <c r="C332" s="35"/>
      <c r="D332" s="33"/>
      <c r="E332" s="31"/>
      <c r="F332" s="31"/>
      <c r="G332" s="37">
        <f>IF(F332="","",IF(ISNA(MATCH(F332,'Item master'!$A$2:$A$301,0)),"Not in Item master",IFERROR(INDEX('Item master'!$B$2:$B$301,MATCH(F332,'Item master'!$A$2:$A$301,0))&amp;"","")))</f>
      </c>
      <c r="H332" s="34"/>
      <c r="I332" s="31"/>
      <c r="J332" s="31"/>
      <c r="K332" s="33"/>
      <c r="L332" s="31"/>
      <c r="M332" s="35"/>
      <c r="N332" s="30"/>
      <c r="O332" s="30"/>
      <c r="P332" s="36"/>
      <c r="Q332" s="38">
        <f>IF(OR(C332&lt;&gt;"loan",E332=""),"",IF(ISNA(MATCH(E332,Units!$A$2:$A$501,0)),"",IF(INDEX(Units!$E$2:$E$501,MATCH(E332,Units!$A$2:$A$501,0))="","",IF(K332="","No due date",IF(INT(K332)&gt;INDEX(Units!$E$2:$E$501,MATCH(E332,Units!$A$2:$A$501,0)),"Past cal date","OK")))))</f>
      </c>
      <c r="R332" s="37">
        <f>IF(A332="Overdue",K332+ROW()/10000000,"")</f>
      </c>
    </row>
    <row r="333">
      <c r="A333" s="38">
        <f>IF(C333="","",IF(B333="","Needs ID",IF(OR(C333="loan",C333="send_out"),IF(COUNTIF($L$2:$L$1001,B333)&gt;0,"Closed",IF(K333="","Open",IF(K333&lt;NOW(),"Overdue","Open"))),IF(C333="return",IF(OR(L333="",COUNTIF($B$2:$B$1001,L333)=0),"No match",IF(OR(M333="worn",M333="damaged"),"Quarantine","Returned")),IF(C333="issue","Issued",IF(C333="transfer","Moved",IF(C333="write_off","Written off",IF(C333="unfilled","Unfilled",""))))))))</f>
      </c>
      <c r="B333" s="31"/>
      <c r="C333" s="35"/>
      <c r="D333" s="33"/>
      <c r="E333" s="31"/>
      <c r="F333" s="31"/>
      <c r="G333" s="37">
        <f>IF(F333="","",IF(ISNA(MATCH(F333,'Item master'!$A$2:$A$301,0)),"Not in Item master",IFERROR(INDEX('Item master'!$B$2:$B$301,MATCH(F333,'Item master'!$A$2:$A$301,0))&amp;"","")))</f>
      </c>
      <c r="H333" s="34"/>
      <c r="I333" s="31"/>
      <c r="J333" s="31"/>
      <c r="K333" s="33"/>
      <c r="L333" s="31"/>
      <c r="M333" s="35"/>
      <c r="N333" s="30"/>
      <c r="O333" s="30"/>
      <c r="P333" s="36"/>
      <c r="Q333" s="38">
        <f>IF(OR(C333&lt;&gt;"loan",E333=""),"",IF(ISNA(MATCH(E333,Units!$A$2:$A$501,0)),"",IF(INDEX(Units!$E$2:$E$501,MATCH(E333,Units!$A$2:$A$501,0))="","",IF(K333="","No due date",IF(INT(K333)&gt;INDEX(Units!$E$2:$E$501,MATCH(E333,Units!$A$2:$A$501,0)),"Past cal date","OK")))))</f>
      </c>
      <c r="R333" s="37">
        <f>IF(A333="Overdue",K333+ROW()/10000000,"")</f>
      </c>
    </row>
    <row r="334">
      <c r="A334" s="38">
        <f>IF(C334="","",IF(B334="","Needs ID",IF(OR(C334="loan",C334="send_out"),IF(COUNTIF($L$2:$L$1001,B334)&gt;0,"Closed",IF(K334="","Open",IF(K334&lt;NOW(),"Overdue","Open"))),IF(C334="return",IF(OR(L334="",COUNTIF($B$2:$B$1001,L334)=0),"No match",IF(OR(M334="worn",M334="damaged"),"Quarantine","Returned")),IF(C334="issue","Issued",IF(C334="transfer","Moved",IF(C334="write_off","Written off",IF(C334="unfilled","Unfilled",""))))))))</f>
      </c>
      <c r="B334" s="31"/>
      <c r="C334" s="35"/>
      <c r="D334" s="33"/>
      <c r="E334" s="31"/>
      <c r="F334" s="31"/>
      <c r="G334" s="37">
        <f>IF(F334="","",IF(ISNA(MATCH(F334,'Item master'!$A$2:$A$301,0)),"Not in Item master",IFERROR(INDEX('Item master'!$B$2:$B$301,MATCH(F334,'Item master'!$A$2:$A$301,0))&amp;"","")))</f>
      </c>
      <c r="H334" s="34"/>
      <c r="I334" s="31"/>
      <c r="J334" s="31"/>
      <c r="K334" s="33"/>
      <c r="L334" s="31"/>
      <c r="M334" s="35"/>
      <c r="N334" s="30"/>
      <c r="O334" s="30"/>
      <c r="P334" s="36"/>
      <c r="Q334" s="38">
        <f>IF(OR(C334&lt;&gt;"loan",E334=""),"",IF(ISNA(MATCH(E334,Units!$A$2:$A$501,0)),"",IF(INDEX(Units!$E$2:$E$501,MATCH(E334,Units!$A$2:$A$501,0))="","",IF(K334="","No due date",IF(INT(K334)&gt;INDEX(Units!$E$2:$E$501,MATCH(E334,Units!$A$2:$A$501,0)),"Past cal date","OK")))))</f>
      </c>
      <c r="R334" s="37">
        <f>IF(A334="Overdue",K334+ROW()/10000000,"")</f>
      </c>
    </row>
    <row r="335">
      <c r="A335" s="38">
        <f>IF(C335="","",IF(B335="","Needs ID",IF(OR(C335="loan",C335="send_out"),IF(COUNTIF($L$2:$L$1001,B335)&gt;0,"Closed",IF(K335="","Open",IF(K335&lt;NOW(),"Overdue","Open"))),IF(C335="return",IF(OR(L335="",COUNTIF($B$2:$B$1001,L335)=0),"No match",IF(OR(M335="worn",M335="damaged"),"Quarantine","Returned")),IF(C335="issue","Issued",IF(C335="transfer","Moved",IF(C335="write_off","Written off",IF(C335="unfilled","Unfilled",""))))))))</f>
      </c>
      <c r="B335" s="31"/>
      <c r="C335" s="35"/>
      <c r="D335" s="33"/>
      <c r="E335" s="31"/>
      <c r="F335" s="31"/>
      <c r="G335" s="37">
        <f>IF(F335="","",IF(ISNA(MATCH(F335,'Item master'!$A$2:$A$301,0)),"Not in Item master",IFERROR(INDEX('Item master'!$B$2:$B$301,MATCH(F335,'Item master'!$A$2:$A$301,0))&amp;"","")))</f>
      </c>
      <c r="H335" s="34"/>
      <c r="I335" s="31"/>
      <c r="J335" s="31"/>
      <c r="K335" s="33"/>
      <c r="L335" s="31"/>
      <c r="M335" s="35"/>
      <c r="N335" s="30"/>
      <c r="O335" s="30"/>
      <c r="P335" s="36"/>
      <c r="Q335" s="38">
        <f>IF(OR(C335&lt;&gt;"loan",E335=""),"",IF(ISNA(MATCH(E335,Units!$A$2:$A$501,0)),"",IF(INDEX(Units!$E$2:$E$501,MATCH(E335,Units!$A$2:$A$501,0))="","",IF(K335="","No due date",IF(INT(K335)&gt;INDEX(Units!$E$2:$E$501,MATCH(E335,Units!$A$2:$A$501,0)),"Past cal date","OK")))))</f>
      </c>
      <c r="R335" s="37">
        <f>IF(A335="Overdue",K335+ROW()/10000000,"")</f>
      </c>
    </row>
    <row r="336">
      <c r="A336" s="38">
        <f>IF(C336="","",IF(B336="","Needs ID",IF(OR(C336="loan",C336="send_out"),IF(COUNTIF($L$2:$L$1001,B336)&gt;0,"Closed",IF(K336="","Open",IF(K336&lt;NOW(),"Overdue","Open"))),IF(C336="return",IF(OR(L336="",COUNTIF($B$2:$B$1001,L336)=0),"No match",IF(OR(M336="worn",M336="damaged"),"Quarantine","Returned")),IF(C336="issue","Issued",IF(C336="transfer","Moved",IF(C336="write_off","Written off",IF(C336="unfilled","Unfilled",""))))))))</f>
      </c>
      <c r="B336" s="31"/>
      <c r="C336" s="35"/>
      <c r="D336" s="33"/>
      <c r="E336" s="31"/>
      <c r="F336" s="31"/>
      <c r="G336" s="37">
        <f>IF(F336="","",IF(ISNA(MATCH(F336,'Item master'!$A$2:$A$301,0)),"Not in Item master",IFERROR(INDEX('Item master'!$B$2:$B$301,MATCH(F336,'Item master'!$A$2:$A$301,0))&amp;"","")))</f>
      </c>
      <c r="H336" s="34"/>
      <c r="I336" s="31"/>
      <c r="J336" s="31"/>
      <c r="K336" s="33"/>
      <c r="L336" s="31"/>
      <c r="M336" s="35"/>
      <c r="N336" s="30"/>
      <c r="O336" s="30"/>
      <c r="P336" s="36"/>
      <c r="Q336" s="38">
        <f>IF(OR(C336&lt;&gt;"loan",E336=""),"",IF(ISNA(MATCH(E336,Units!$A$2:$A$501,0)),"",IF(INDEX(Units!$E$2:$E$501,MATCH(E336,Units!$A$2:$A$501,0))="","",IF(K336="","No due date",IF(INT(K336)&gt;INDEX(Units!$E$2:$E$501,MATCH(E336,Units!$A$2:$A$501,0)),"Past cal date","OK")))))</f>
      </c>
      <c r="R336" s="37">
        <f>IF(A336="Overdue",K336+ROW()/10000000,"")</f>
      </c>
    </row>
    <row r="337">
      <c r="A337" s="38">
        <f>IF(C337="","",IF(B337="","Needs ID",IF(OR(C337="loan",C337="send_out"),IF(COUNTIF($L$2:$L$1001,B337)&gt;0,"Closed",IF(K337="","Open",IF(K337&lt;NOW(),"Overdue","Open"))),IF(C337="return",IF(OR(L337="",COUNTIF($B$2:$B$1001,L337)=0),"No match",IF(OR(M337="worn",M337="damaged"),"Quarantine","Returned")),IF(C337="issue","Issued",IF(C337="transfer","Moved",IF(C337="write_off","Written off",IF(C337="unfilled","Unfilled",""))))))))</f>
      </c>
      <c r="B337" s="31"/>
      <c r="C337" s="35"/>
      <c r="D337" s="33"/>
      <c r="E337" s="31"/>
      <c r="F337" s="31"/>
      <c r="G337" s="37">
        <f>IF(F337="","",IF(ISNA(MATCH(F337,'Item master'!$A$2:$A$301,0)),"Not in Item master",IFERROR(INDEX('Item master'!$B$2:$B$301,MATCH(F337,'Item master'!$A$2:$A$301,0))&amp;"","")))</f>
      </c>
      <c r="H337" s="34"/>
      <c r="I337" s="31"/>
      <c r="J337" s="31"/>
      <c r="K337" s="33"/>
      <c r="L337" s="31"/>
      <c r="M337" s="35"/>
      <c r="N337" s="30"/>
      <c r="O337" s="30"/>
      <c r="P337" s="36"/>
      <c r="Q337" s="38">
        <f>IF(OR(C337&lt;&gt;"loan",E337=""),"",IF(ISNA(MATCH(E337,Units!$A$2:$A$501,0)),"",IF(INDEX(Units!$E$2:$E$501,MATCH(E337,Units!$A$2:$A$501,0))="","",IF(K337="","No due date",IF(INT(K337)&gt;INDEX(Units!$E$2:$E$501,MATCH(E337,Units!$A$2:$A$501,0)),"Past cal date","OK")))))</f>
      </c>
      <c r="R337" s="37">
        <f>IF(A337="Overdue",K337+ROW()/10000000,"")</f>
      </c>
    </row>
    <row r="338">
      <c r="A338" s="38">
        <f>IF(C338="","",IF(B338="","Needs ID",IF(OR(C338="loan",C338="send_out"),IF(COUNTIF($L$2:$L$1001,B338)&gt;0,"Closed",IF(K338="","Open",IF(K338&lt;NOW(),"Overdue","Open"))),IF(C338="return",IF(OR(L338="",COUNTIF($B$2:$B$1001,L338)=0),"No match",IF(OR(M338="worn",M338="damaged"),"Quarantine","Returned")),IF(C338="issue","Issued",IF(C338="transfer","Moved",IF(C338="write_off","Written off",IF(C338="unfilled","Unfilled",""))))))))</f>
      </c>
      <c r="B338" s="31"/>
      <c r="C338" s="35"/>
      <c r="D338" s="33"/>
      <c r="E338" s="31"/>
      <c r="F338" s="31"/>
      <c r="G338" s="37">
        <f>IF(F338="","",IF(ISNA(MATCH(F338,'Item master'!$A$2:$A$301,0)),"Not in Item master",IFERROR(INDEX('Item master'!$B$2:$B$301,MATCH(F338,'Item master'!$A$2:$A$301,0))&amp;"","")))</f>
      </c>
      <c r="H338" s="34"/>
      <c r="I338" s="31"/>
      <c r="J338" s="31"/>
      <c r="K338" s="33"/>
      <c r="L338" s="31"/>
      <c r="M338" s="35"/>
      <c r="N338" s="30"/>
      <c r="O338" s="30"/>
      <c r="P338" s="36"/>
      <c r="Q338" s="38">
        <f>IF(OR(C338&lt;&gt;"loan",E338=""),"",IF(ISNA(MATCH(E338,Units!$A$2:$A$501,0)),"",IF(INDEX(Units!$E$2:$E$501,MATCH(E338,Units!$A$2:$A$501,0))="","",IF(K338="","No due date",IF(INT(K338)&gt;INDEX(Units!$E$2:$E$501,MATCH(E338,Units!$A$2:$A$501,0)),"Past cal date","OK")))))</f>
      </c>
      <c r="R338" s="37">
        <f>IF(A338="Overdue",K338+ROW()/10000000,"")</f>
      </c>
    </row>
    <row r="339">
      <c r="A339" s="38">
        <f>IF(C339="","",IF(B339="","Needs ID",IF(OR(C339="loan",C339="send_out"),IF(COUNTIF($L$2:$L$1001,B339)&gt;0,"Closed",IF(K339="","Open",IF(K339&lt;NOW(),"Overdue","Open"))),IF(C339="return",IF(OR(L339="",COUNTIF($B$2:$B$1001,L339)=0),"No match",IF(OR(M339="worn",M339="damaged"),"Quarantine","Returned")),IF(C339="issue","Issued",IF(C339="transfer","Moved",IF(C339="write_off","Written off",IF(C339="unfilled","Unfilled",""))))))))</f>
      </c>
      <c r="B339" s="31"/>
      <c r="C339" s="35"/>
      <c r="D339" s="33"/>
      <c r="E339" s="31"/>
      <c r="F339" s="31"/>
      <c r="G339" s="37">
        <f>IF(F339="","",IF(ISNA(MATCH(F339,'Item master'!$A$2:$A$301,0)),"Not in Item master",IFERROR(INDEX('Item master'!$B$2:$B$301,MATCH(F339,'Item master'!$A$2:$A$301,0))&amp;"","")))</f>
      </c>
      <c r="H339" s="34"/>
      <c r="I339" s="31"/>
      <c r="J339" s="31"/>
      <c r="K339" s="33"/>
      <c r="L339" s="31"/>
      <c r="M339" s="35"/>
      <c r="N339" s="30"/>
      <c r="O339" s="30"/>
      <c r="P339" s="36"/>
      <c r="Q339" s="38">
        <f>IF(OR(C339&lt;&gt;"loan",E339=""),"",IF(ISNA(MATCH(E339,Units!$A$2:$A$501,0)),"",IF(INDEX(Units!$E$2:$E$501,MATCH(E339,Units!$A$2:$A$501,0))="","",IF(K339="","No due date",IF(INT(K339)&gt;INDEX(Units!$E$2:$E$501,MATCH(E339,Units!$A$2:$A$501,0)),"Past cal date","OK")))))</f>
      </c>
      <c r="R339" s="37">
        <f>IF(A339="Overdue",K339+ROW()/10000000,"")</f>
      </c>
    </row>
    <row r="340">
      <c r="A340" s="38">
        <f>IF(C340="","",IF(B340="","Needs ID",IF(OR(C340="loan",C340="send_out"),IF(COUNTIF($L$2:$L$1001,B340)&gt;0,"Closed",IF(K340="","Open",IF(K340&lt;NOW(),"Overdue","Open"))),IF(C340="return",IF(OR(L340="",COUNTIF($B$2:$B$1001,L340)=0),"No match",IF(OR(M340="worn",M340="damaged"),"Quarantine","Returned")),IF(C340="issue","Issued",IF(C340="transfer","Moved",IF(C340="write_off","Written off",IF(C340="unfilled","Unfilled",""))))))))</f>
      </c>
      <c r="B340" s="31"/>
      <c r="C340" s="35"/>
      <c r="D340" s="33"/>
      <c r="E340" s="31"/>
      <c r="F340" s="31"/>
      <c r="G340" s="37">
        <f>IF(F340="","",IF(ISNA(MATCH(F340,'Item master'!$A$2:$A$301,0)),"Not in Item master",IFERROR(INDEX('Item master'!$B$2:$B$301,MATCH(F340,'Item master'!$A$2:$A$301,0))&amp;"","")))</f>
      </c>
      <c r="H340" s="34"/>
      <c r="I340" s="31"/>
      <c r="J340" s="31"/>
      <c r="K340" s="33"/>
      <c r="L340" s="31"/>
      <c r="M340" s="35"/>
      <c r="N340" s="30"/>
      <c r="O340" s="30"/>
      <c r="P340" s="36"/>
      <c r="Q340" s="38">
        <f>IF(OR(C340&lt;&gt;"loan",E340=""),"",IF(ISNA(MATCH(E340,Units!$A$2:$A$501,0)),"",IF(INDEX(Units!$E$2:$E$501,MATCH(E340,Units!$A$2:$A$501,0))="","",IF(K340="","No due date",IF(INT(K340)&gt;INDEX(Units!$E$2:$E$501,MATCH(E340,Units!$A$2:$A$501,0)),"Past cal date","OK")))))</f>
      </c>
      <c r="R340" s="37">
        <f>IF(A340="Overdue",K340+ROW()/10000000,"")</f>
      </c>
    </row>
    <row r="341">
      <c r="A341" s="38">
        <f>IF(C341="","",IF(B341="","Needs ID",IF(OR(C341="loan",C341="send_out"),IF(COUNTIF($L$2:$L$1001,B341)&gt;0,"Closed",IF(K341="","Open",IF(K341&lt;NOW(),"Overdue","Open"))),IF(C341="return",IF(OR(L341="",COUNTIF($B$2:$B$1001,L341)=0),"No match",IF(OR(M341="worn",M341="damaged"),"Quarantine","Returned")),IF(C341="issue","Issued",IF(C341="transfer","Moved",IF(C341="write_off","Written off",IF(C341="unfilled","Unfilled",""))))))))</f>
      </c>
      <c r="B341" s="31"/>
      <c r="C341" s="35"/>
      <c r="D341" s="33"/>
      <c r="E341" s="31"/>
      <c r="F341" s="31"/>
      <c r="G341" s="37">
        <f>IF(F341="","",IF(ISNA(MATCH(F341,'Item master'!$A$2:$A$301,0)),"Not in Item master",IFERROR(INDEX('Item master'!$B$2:$B$301,MATCH(F341,'Item master'!$A$2:$A$301,0))&amp;"","")))</f>
      </c>
      <c r="H341" s="34"/>
      <c r="I341" s="31"/>
      <c r="J341" s="31"/>
      <c r="K341" s="33"/>
      <c r="L341" s="31"/>
      <c r="M341" s="35"/>
      <c r="N341" s="30"/>
      <c r="O341" s="30"/>
      <c r="P341" s="36"/>
      <c r="Q341" s="38">
        <f>IF(OR(C341&lt;&gt;"loan",E341=""),"",IF(ISNA(MATCH(E341,Units!$A$2:$A$501,0)),"",IF(INDEX(Units!$E$2:$E$501,MATCH(E341,Units!$A$2:$A$501,0))="","",IF(K341="","No due date",IF(INT(K341)&gt;INDEX(Units!$E$2:$E$501,MATCH(E341,Units!$A$2:$A$501,0)),"Past cal date","OK")))))</f>
      </c>
      <c r="R341" s="37">
        <f>IF(A341="Overdue",K341+ROW()/10000000,"")</f>
      </c>
    </row>
    <row r="342">
      <c r="A342" s="38">
        <f>IF(C342="","",IF(B342="","Needs ID",IF(OR(C342="loan",C342="send_out"),IF(COUNTIF($L$2:$L$1001,B342)&gt;0,"Closed",IF(K342="","Open",IF(K342&lt;NOW(),"Overdue","Open"))),IF(C342="return",IF(OR(L342="",COUNTIF($B$2:$B$1001,L342)=0),"No match",IF(OR(M342="worn",M342="damaged"),"Quarantine","Returned")),IF(C342="issue","Issued",IF(C342="transfer","Moved",IF(C342="write_off","Written off",IF(C342="unfilled","Unfilled",""))))))))</f>
      </c>
      <c r="B342" s="31"/>
      <c r="C342" s="35"/>
      <c r="D342" s="33"/>
      <c r="E342" s="31"/>
      <c r="F342" s="31"/>
      <c r="G342" s="37">
        <f>IF(F342="","",IF(ISNA(MATCH(F342,'Item master'!$A$2:$A$301,0)),"Not in Item master",IFERROR(INDEX('Item master'!$B$2:$B$301,MATCH(F342,'Item master'!$A$2:$A$301,0))&amp;"","")))</f>
      </c>
      <c r="H342" s="34"/>
      <c r="I342" s="31"/>
      <c r="J342" s="31"/>
      <c r="K342" s="33"/>
      <c r="L342" s="31"/>
      <c r="M342" s="35"/>
      <c r="N342" s="30"/>
      <c r="O342" s="30"/>
      <c r="P342" s="36"/>
      <c r="Q342" s="38">
        <f>IF(OR(C342&lt;&gt;"loan",E342=""),"",IF(ISNA(MATCH(E342,Units!$A$2:$A$501,0)),"",IF(INDEX(Units!$E$2:$E$501,MATCH(E342,Units!$A$2:$A$501,0))="","",IF(K342="","No due date",IF(INT(K342)&gt;INDEX(Units!$E$2:$E$501,MATCH(E342,Units!$A$2:$A$501,0)),"Past cal date","OK")))))</f>
      </c>
      <c r="R342" s="37">
        <f>IF(A342="Overdue",K342+ROW()/10000000,"")</f>
      </c>
    </row>
    <row r="343">
      <c r="A343" s="38">
        <f>IF(C343="","",IF(B343="","Needs ID",IF(OR(C343="loan",C343="send_out"),IF(COUNTIF($L$2:$L$1001,B343)&gt;0,"Closed",IF(K343="","Open",IF(K343&lt;NOW(),"Overdue","Open"))),IF(C343="return",IF(OR(L343="",COUNTIF($B$2:$B$1001,L343)=0),"No match",IF(OR(M343="worn",M343="damaged"),"Quarantine","Returned")),IF(C343="issue","Issued",IF(C343="transfer","Moved",IF(C343="write_off","Written off",IF(C343="unfilled","Unfilled",""))))))))</f>
      </c>
      <c r="B343" s="31"/>
      <c r="C343" s="35"/>
      <c r="D343" s="33"/>
      <c r="E343" s="31"/>
      <c r="F343" s="31"/>
      <c r="G343" s="37">
        <f>IF(F343="","",IF(ISNA(MATCH(F343,'Item master'!$A$2:$A$301,0)),"Not in Item master",IFERROR(INDEX('Item master'!$B$2:$B$301,MATCH(F343,'Item master'!$A$2:$A$301,0))&amp;"","")))</f>
      </c>
      <c r="H343" s="34"/>
      <c r="I343" s="31"/>
      <c r="J343" s="31"/>
      <c r="K343" s="33"/>
      <c r="L343" s="31"/>
      <c r="M343" s="35"/>
      <c r="N343" s="30"/>
      <c r="O343" s="30"/>
      <c r="P343" s="36"/>
      <c r="Q343" s="38">
        <f>IF(OR(C343&lt;&gt;"loan",E343=""),"",IF(ISNA(MATCH(E343,Units!$A$2:$A$501,0)),"",IF(INDEX(Units!$E$2:$E$501,MATCH(E343,Units!$A$2:$A$501,0))="","",IF(K343="","No due date",IF(INT(K343)&gt;INDEX(Units!$E$2:$E$501,MATCH(E343,Units!$A$2:$A$501,0)),"Past cal date","OK")))))</f>
      </c>
      <c r="R343" s="37">
        <f>IF(A343="Overdue",K343+ROW()/10000000,"")</f>
      </c>
    </row>
    <row r="344">
      <c r="A344" s="38">
        <f>IF(C344="","",IF(B344="","Needs ID",IF(OR(C344="loan",C344="send_out"),IF(COUNTIF($L$2:$L$1001,B344)&gt;0,"Closed",IF(K344="","Open",IF(K344&lt;NOW(),"Overdue","Open"))),IF(C344="return",IF(OR(L344="",COUNTIF($B$2:$B$1001,L344)=0),"No match",IF(OR(M344="worn",M344="damaged"),"Quarantine","Returned")),IF(C344="issue","Issued",IF(C344="transfer","Moved",IF(C344="write_off","Written off",IF(C344="unfilled","Unfilled",""))))))))</f>
      </c>
      <c r="B344" s="31"/>
      <c r="C344" s="35"/>
      <c r="D344" s="33"/>
      <c r="E344" s="31"/>
      <c r="F344" s="31"/>
      <c r="G344" s="37">
        <f>IF(F344="","",IF(ISNA(MATCH(F344,'Item master'!$A$2:$A$301,0)),"Not in Item master",IFERROR(INDEX('Item master'!$B$2:$B$301,MATCH(F344,'Item master'!$A$2:$A$301,0))&amp;"","")))</f>
      </c>
      <c r="H344" s="34"/>
      <c r="I344" s="31"/>
      <c r="J344" s="31"/>
      <c r="K344" s="33"/>
      <c r="L344" s="31"/>
      <c r="M344" s="35"/>
      <c r="N344" s="30"/>
      <c r="O344" s="30"/>
      <c r="P344" s="36"/>
      <c r="Q344" s="38">
        <f>IF(OR(C344&lt;&gt;"loan",E344=""),"",IF(ISNA(MATCH(E344,Units!$A$2:$A$501,0)),"",IF(INDEX(Units!$E$2:$E$501,MATCH(E344,Units!$A$2:$A$501,0))="","",IF(K344="","No due date",IF(INT(K344)&gt;INDEX(Units!$E$2:$E$501,MATCH(E344,Units!$A$2:$A$501,0)),"Past cal date","OK")))))</f>
      </c>
      <c r="R344" s="37">
        <f>IF(A344="Overdue",K344+ROW()/10000000,"")</f>
      </c>
    </row>
    <row r="345">
      <c r="A345" s="38">
        <f>IF(C345="","",IF(B345="","Needs ID",IF(OR(C345="loan",C345="send_out"),IF(COUNTIF($L$2:$L$1001,B345)&gt;0,"Closed",IF(K345="","Open",IF(K345&lt;NOW(),"Overdue","Open"))),IF(C345="return",IF(OR(L345="",COUNTIF($B$2:$B$1001,L345)=0),"No match",IF(OR(M345="worn",M345="damaged"),"Quarantine","Returned")),IF(C345="issue","Issued",IF(C345="transfer","Moved",IF(C345="write_off","Written off",IF(C345="unfilled","Unfilled",""))))))))</f>
      </c>
      <c r="B345" s="31"/>
      <c r="C345" s="35"/>
      <c r="D345" s="33"/>
      <c r="E345" s="31"/>
      <c r="F345" s="31"/>
      <c r="G345" s="37">
        <f>IF(F345="","",IF(ISNA(MATCH(F345,'Item master'!$A$2:$A$301,0)),"Not in Item master",IFERROR(INDEX('Item master'!$B$2:$B$301,MATCH(F345,'Item master'!$A$2:$A$301,0))&amp;"","")))</f>
      </c>
      <c r="H345" s="34"/>
      <c r="I345" s="31"/>
      <c r="J345" s="31"/>
      <c r="K345" s="33"/>
      <c r="L345" s="31"/>
      <c r="M345" s="35"/>
      <c r="N345" s="30"/>
      <c r="O345" s="30"/>
      <c r="P345" s="36"/>
      <c r="Q345" s="38">
        <f>IF(OR(C345&lt;&gt;"loan",E345=""),"",IF(ISNA(MATCH(E345,Units!$A$2:$A$501,0)),"",IF(INDEX(Units!$E$2:$E$501,MATCH(E345,Units!$A$2:$A$501,0))="","",IF(K345="","No due date",IF(INT(K345)&gt;INDEX(Units!$E$2:$E$501,MATCH(E345,Units!$A$2:$A$501,0)),"Past cal date","OK")))))</f>
      </c>
      <c r="R345" s="37">
        <f>IF(A345="Overdue",K345+ROW()/10000000,"")</f>
      </c>
    </row>
    <row r="346">
      <c r="A346" s="38">
        <f>IF(C346="","",IF(B346="","Needs ID",IF(OR(C346="loan",C346="send_out"),IF(COUNTIF($L$2:$L$1001,B346)&gt;0,"Closed",IF(K346="","Open",IF(K346&lt;NOW(),"Overdue","Open"))),IF(C346="return",IF(OR(L346="",COUNTIF($B$2:$B$1001,L346)=0),"No match",IF(OR(M346="worn",M346="damaged"),"Quarantine","Returned")),IF(C346="issue","Issued",IF(C346="transfer","Moved",IF(C346="write_off","Written off",IF(C346="unfilled","Unfilled",""))))))))</f>
      </c>
      <c r="B346" s="31"/>
      <c r="C346" s="35"/>
      <c r="D346" s="33"/>
      <c r="E346" s="31"/>
      <c r="F346" s="31"/>
      <c r="G346" s="37">
        <f>IF(F346="","",IF(ISNA(MATCH(F346,'Item master'!$A$2:$A$301,0)),"Not in Item master",IFERROR(INDEX('Item master'!$B$2:$B$301,MATCH(F346,'Item master'!$A$2:$A$301,0))&amp;"","")))</f>
      </c>
      <c r="H346" s="34"/>
      <c r="I346" s="31"/>
      <c r="J346" s="31"/>
      <c r="K346" s="33"/>
      <c r="L346" s="31"/>
      <c r="M346" s="35"/>
      <c r="N346" s="30"/>
      <c r="O346" s="30"/>
      <c r="P346" s="36"/>
      <c r="Q346" s="38">
        <f>IF(OR(C346&lt;&gt;"loan",E346=""),"",IF(ISNA(MATCH(E346,Units!$A$2:$A$501,0)),"",IF(INDEX(Units!$E$2:$E$501,MATCH(E346,Units!$A$2:$A$501,0))="","",IF(K346="","No due date",IF(INT(K346)&gt;INDEX(Units!$E$2:$E$501,MATCH(E346,Units!$A$2:$A$501,0)),"Past cal date","OK")))))</f>
      </c>
      <c r="R346" s="37">
        <f>IF(A346="Overdue",K346+ROW()/10000000,"")</f>
      </c>
    </row>
    <row r="347">
      <c r="A347" s="38">
        <f>IF(C347="","",IF(B347="","Needs ID",IF(OR(C347="loan",C347="send_out"),IF(COUNTIF($L$2:$L$1001,B347)&gt;0,"Closed",IF(K347="","Open",IF(K347&lt;NOW(),"Overdue","Open"))),IF(C347="return",IF(OR(L347="",COUNTIF($B$2:$B$1001,L347)=0),"No match",IF(OR(M347="worn",M347="damaged"),"Quarantine","Returned")),IF(C347="issue","Issued",IF(C347="transfer","Moved",IF(C347="write_off","Written off",IF(C347="unfilled","Unfilled",""))))))))</f>
      </c>
      <c r="B347" s="31"/>
      <c r="C347" s="35"/>
      <c r="D347" s="33"/>
      <c r="E347" s="31"/>
      <c r="F347" s="31"/>
      <c r="G347" s="37">
        <f>IF(F347="","",IF(ISNA(MATCH(F347,'Item master'!$A$2:$A$301,0)),"Not in Item master",IFERROR(INDEX('Item master'!$B$2:$B$301,MATCH(F347,'Item master'!$A$2:$A$301,0))&amp;"","")))</f>
      </c>
      <c r="H347" s="34"/>
      <c r="I347" s="31"/>
      <c r="J347" s="31"/>
      <c r="K347" s="33"/>
      <c r="L347" s="31"/>
      <c r="M347" s="35"/>
      <c r="N347" s="30"/>
      <c r="O347" s="30"/>
      <c r="P347" s="36"/>
      <c r="Q347" s="38">
        <f>IF(OR(C347&lt;&gt;"loan",E347=""),"",IF(ISNA(MATCH(E347,Units!$A$2:$A$501,0)),"",IF(INDEX(Units!$E$2:$E$501,MATCH(E347,Units!$A$2:$A$501,0))="","",IF(K347="","No due date",IF(INT(K347)&gt;INDEX(Units!$E$2:$E$501,MATCH(E347,Units!$A$2:$A$501,0)),"Past cal date","OK")))))</f>
      </c>
      <c r="R347" s="37">
        <f>IF(A347="Overdue",K347+ROW()/10000000,"")</f>
      </c>
    </row>
    <row r="348">
      <c r="A348" s="38">
        <f>IF(C348="","",IF(B348="","Needs ID",IF(OR(C348="loan",C348="send_out"),IF(COUNTIF($L$2:$L$1001,B348)&gt;0,"Closed",IF(K348="","Open",IF(K348&lt;NOW(),"Overdue","Open"))),IF(C348="return",IF(OR(L348="",COUNTIF($B$2:$B$1001,L348)=0),"No match",IF(OR(M348="worn",M348="damaged"),"Quarantine","Returned")),IF(C348="issue","Issued",IF(C348="transfer","Moved",IF(C348="write_off","Written off",IF(C348="unfilled","Unfilled",""))))))))</f>
      </c>
      <c r="B348" s="31"/>
      <c r="C348" s="35"/>
      <c r="D348" s="33"/>
      <c r="E348" s="31"/>
      <c r="F348" s="31"/>
      <c r="G348" s="37">
        <f>IF(F348="","",IF(ISNA(MATCH(F348,'Item master'!$A$2:$A$301,0)),"Not in Item master",IFERROR(INDEX('Item master'!$B$2:$B$301,MATCH(F348,'Item master'!$A$2:$A$301,0))&amp;"","")))</f>
      </c>
      <c r="H348" s="34"/>
      <c r="I348" s="31"/>
      <c r="J348" s="31"/>
      <c r="K348" s="33"/>
      <c r="L348" s="31"/>
      <c r="M348" s="35"/>
      <c r="N348" s="30"/>
      <c r="O348" s="30"/>
      <c r="P348" s="36"/>
      <c r="Q348" s="38">
        <f>IF(OR(C348&lt;&gt;"loan",E348=""),"",IF(ISNA(MATCH(E348,Units!$A$2:$A$501,0)),"",IF(INDEX(Units!$E$2:$E$501,MATCH(E348,Units!$A$2:$A$501,0))="","",IF(K348="","No due date",IF(INT(K348)&gt;INDEX(Units!$E$2:$E$501,MATCH(E348,Units!$A$2:$A$501,0)),"Past cal date","OK")))))</f>
      </c>
      <c r="R348" s="37">
        <f>IF(A348="Overdue",K348+ROW()/10000000,"")</f>
      </c>
    </row>
    <row r="349">
      <c r="A349" s="38">
        <f>IF(C349="","",IF(B349="","Needs ID",IF(OR(C349="loan",C349="send_out"),IF(COUNTIF($L$2:$L$1001,B349)&gt;0,"Closed",IF(K349="","Open",IF(K349&lt;NOW(),"Overdue","Open"))),IF(C349="return",IF(OR(L349="",COUNTIF($B$2:$B$1001,L349)=0),"No match",IF(OR(M349="worn",M349="damaged"),"Quarantine","Returned")),IF(C349="issue","Issued",IF(C349="transfer","Moved",IF(C349="write_off","Written off",IF(C349="unfilled","Unfilled",""))))))))</f>
      </c>
      <c r="B349" s="31"/>
      <c r="C349" s="35"/>
      <c r="D349" s="33"/>
      <c r="E349" s="31"/>
      <c r="F349" s="31"/>
      <c r="G349" s="37">
        <f>IF(F349="","",IF(ISNA(MATCH(F349,'Item master'!$A$2:$A$301,0)),"Not in Item master",IFERROR(INDEX('Item master'!$B$2:$B$301,MATCH(F349,'Item master'!$A$2:$A$301,0))&amp;"","")))</f>
      </c>
      <c r="H349" s="34"/>
      <c r="I349" s="31"/>
      <c r="J349" s="31"/>
      <c r="K349" s="33"/>
      <c r="L349" s="31"/>
      <c r="M349" s="35"/>
      <c r="N349" s="30"/>
      <c r="O349" s="30"/>
      <c r="P349" s="36"/>
      <c r="Q349" s="38">
        <f>IF(OR(C349&lt;&gt;"loan",E349=""),"",IF(ISNA(MATCH(E349,Units!$A$2:$A$501,0)),"",IF(INDEX(Units!$E$2:$E$501,MATCH(E349,Units!$A$2:$A$501,0))="","",IF(K349="","No due date",IF(INT(K349)&gt;INDEX(Units!$E$2:$E$501,MATCH(E349,Units!$A$2:$A$501,0)),"Past cal date","OK")))))</f>
      </c>
      <c r="R349" s="37">
        <f>IF(A349="Overdue",K349+ROW()/10000000,"")</f>
      </c>
    </row>
    <row r="350">
      <c r="A350" s="38">
        <f>IF(C350="","",IF(B350="","Needs ID",IF(OR(C350="loan",C350="send_out"),IF(COUNTIF($L$2:$L$1001,B350)&gt;0,"Closed",IF(K350="","Open",IF(K350&lt;NOW(),"Overdue","Open"))),IF(C350="return",IF(OR(L350="",COUNTIF($B$2:$B$1001,L350)=0),"No match",IF(OR(M350="worn",M350="damaged"),"Quarantine","Returned")),IF(C350="issue","Issued",IF(C350="transfer","Moved",IF(C350="write_off","Written off",IF(C350="unfilled","Unfilled",""))))))))</f>
      </c>
      <c r="B350" s="31"/>
      <c r="C350" s="35"/>
      <c r="D350" s="33"/>
      <c r="E350" s="31"/>
      <c r="F350" s="31"/>
      <c r="G350" s="37">
        <f>IF(F350="","",IF(ISNA(MATCH(F350,'Item master'!$A$2:$A$301,0)),"Not in Item master",IFERROR(INDEX('Item master'!$B$2:$B$301,MATCH(F350,'Item master'!$A$2:$A$301,0))&amp;"","")))</f>
      </c>
      <c r="H350" s="34"/>
      <c r="I350" s="31"/>
      <c r="J350" s="31"/>
      <c r="K350" s="33"/>
      <c r="L350" s="31"/>
      <c r="M350" s="35"/>
      <c r="N350" s="30"/>
      <c r="O350" s="30"/>
      <c r="P350" s="36"/>
      <c r="Q350" s="38">
        <f>IF(OR(C350&lt;&gt;"loan",E350=""),"",IF(ISNA(MATCH(E350,Units!$A$2:$A$501,0)),"",IF(INDEX(Units!$E$2:$E$501,MATCH(E350,Units!$A$2:$A$501,0))="","",IF(K350="","No due date",IF(INT(K350)&gt;INDEX(Units!$E$2:$E$501,MATCH(E350,Units!$A$2:$A$501,0)),"Past cal date","OK")))))</f>
      </c>
      <c r="R350" s="37">
        <f>IF(A350="Overdue",K350+ROW()/10000000,"")</f>
      </c>
    </row>
    <row r="351">
      <c r="A351" s="38">
        <f>IF(C351="","",IF(B351="","Needs ID",IF(OR(C351="loan",C351="send_out"),IF(COUNTIF($L$2:$L$1001,B351)&gt;0,"Closed",IF(K351="","Open",IF(K351&lt;NOW(),"Overdue","Open"))),IF(C351="return",IF(OR(L351="",COUNTIF($B$2:$B$1001,L351)=0),"No match",IF(OR(M351="worn",M351="damaged"),"Quarantine","Returned")),IF(C351="issue","Issued",IF(C351="transfer","Moved",IF(C351="write_off","Written off",IF(C351="unfilled","Unfilled",""))))))))</f>
      </c>
      <c r="B351" s="31"/>
      <c r="C351" s="35"/>
      <c r="D351" s="33"/>
      <c r="E351" s="31"/>
      <c r="F351" s="31"/>
      <c r="G351" s="37">
        <f>IF(F351="","",IF(ISNA(MATCH(F351,'Item master'!$A$2:$A$301,0)),"Not in Item master",IFERROR(INDEX('Item master'!$B$2:$B$301,MATCH(F351,'Item master'!$A$2:$A$301,0))&amp;"","")))</f>
      </c>
      <c r="H351" s="34"/>
      <c r="I351" s="31"/>
      <c r="J351" s="31"/>
      <c r="K351" s="33"/>
      <c r="L351" s="31"/>
      <c r="M351" s="35"/>
      <c r="N351" s="30"/>
      <c r="O351" s="30"/>
      <c r="P351" s="36"/>
      <c r="Q351" s="38">
        <f>IF(OR(C351&lt;&gt;"loan",E351=""),"",IF(ISNA(MATCH(E351,Units!$A$2:$A$501,0)),"",IF(INDEX(Units!$E$2:$E$501,MATCH(E351,Units!$A$2:$A$501,0))="","",IF(K351="","No due date",IF(INT(K351)&gt;INDEX(Units!$E$2:$E$501,MATCH(E351,Units!$A$2:$A$501,0)),"Past cal date","OK")))))</f>
      </c>
      <c r="R351" s="37">
        <f>IF(A351="Overdue",K351+ROW()/10000000,"")</f>
      </c>
    </row>
    <row r="352">
      <c r="A352" s="38">
        <f>IF(C352="","",IF(B352="","Needs ID",IF(OR(C352="loan",C352="send_out"),IF(COUNTIF($L$2:$L$1001,B352)&gt;0,"Closed",IF(K352="","Open",IF(K352&lt;NOW(),"Overdue","Open"))),IF(C352="return",IF(OR(L352="",COUNTIF($B$2:$B$1001,L352)=0),"No match",IF(OR(M352="worn",M352="damaged"),"Quarantine","Returned")),IF(C352="issue","Issued",IF(C352="transfer","Moved",IF(C352="write_off","Written off",IF(C352="unfilled","Unfilled",""))))))))</f>
      </c>
      <c r="B352" s="31"/>
      <c r="C352" s="35"/>
      <c r="D352" s="33"/>
      <c r="E352" s="31"/>
      <c r="F352" s="31"/>
      <c r="G352" s="37">
        <f>IF(F352="","",IF(ISNA(MATCH(F352,'Item master'!$A$2:$A$301,0)),"Not in Item master",IFERROR(INDEX('Item master'!$B$2:$B$301,MATCH(F352,'Item master'!$A$2:$A$301,0))&amp;"","")))</f>
      </c>
      <c r="H352" s="34"/>
      <c r="I352" s="31"/>
      <c r="J352" s="31"/>
      <c r="K352" s="33"/>
      <c r="L352" s="31"/>
      <c r="M352" s="35"/>
      <c r="N352" s="30"/>
      <c r="O352" s="30"/>
      <c r="P352" s="36"/>
      <c r="Q352" s="38">
        <f>IF(OR(C352&lt;&gt;"loan",E352=""),"",IF(ISNA(MATCH(E352,Units!$A$2:$A$501,0)),"",IF(INDEX(Units!$E$2:$E$501,MATCH(E352,Units!$A$2:$A$501,0))="","",IF(K352="","No due date",IF(INT(K352)&gt;INDEX(Units!$E$2:$E$501,MATCH(E352,Units!$A$2:$A$501,0)),"Past cal date","OK")))))</f>
      </c>
      <c r="R352" s="37">
        <f>IF(A352="Overdue",K352+ROW()/10000000,"")</f>
      </c>
    </row>
    <row r="353">
      <c r="A353" s="38">
        <f>IF(C353="","",IF(B353="","Needs ID",IF(OR(C353="loan",C353="send_out"),IF(COUNTIF($L$2:$L$1001,B353)&gt;0,"Closed",IF(K353="","Open",IF(K353&lt;NOW(),"Overdue","Open"))),IF(C353="return",IF(OR(L353="",COUNTIF($B$2:$B$1001,L353)=0),"No match",IF(OR(M353="worn",M353="damaged"),"Quarantine","Returned")),IF(C353="issue","Issued",IF(C353="transfer","Moved",IF(C353="write_off","Written off",IF(C353="unfilled","Unfilled",""))))))))</f>
      </c>
      <c r="B353" s="31"/>
      <c r="C353" s="35"/>
      <c r="D353" s="33"/>
      <c r="E353" s="31"/>
      <c r="F353" s="31"/>
      <c r="G353" s="37">
        <f>IF(F353="","",IF(ISNA(MATCH(F353,'Item master'!$A$2:$A$301,0)),"Not in Item master",IFERROR(INDEX('Item master'!$B$2:$B$301,MATCH(F353,'Item master'!$A$2:$A$301,0))&amp;"","")))</f>
      </c>
      <c r="H353" s="34"/>
      <c r="I353" s="31"/>
      <c r="J353" s="31"/>
      <c r="K353" s="33"/>
      <c r="L353" s="31"/>
      <c r="M353" s="35"/>
      <c r="N353" s="30"/>
      <c r="O353" s="30"/>
      <c r="P353" s="36"/>
      <c r="Q353" s="38">
        <f>IF(OR(C353&lt;&gt;"loan",E353=""),"",IF(ISNA(MATCH(E353,Units!$A$2:$A$501,0)),"",IF(INDEX(Units!$E$2:$E$501,MATCH(E353,Units!$A$2:$A$501,0))="","",IF(K353="","No due date",IF(INT(K353)&gt;INDEX(Units!$E$2:$E$501,MATCH(E353,Units!$A$2:$A$501,0)),"Past cal date","OK")))))</f>
      </c>
      <c r="R353" s="37">
        <f>IF(A353="Overdue",K353+ROW()/10000000,"")</f>
      </c>
    </row>
    <row r="354">
      <c r="A354" s="38">
        <f>IF(C354="","",IF(B354="","Needs ID",IF(OR(C354="loan",C354="send_out"),IF(COUNTIF($L$2:$L$1001,B354)&gt;0,"Closed",IF(K354="","Open",IF(K354&lt;NOW(),"Overdue","Open"))),IF(C354="return",IF(OR(L354="",COUNTIF($B$2:$B$1001,L354)=0),"No match",IF(OR(M354="worn",M354="damaged"),"Quarantine","Returned")),IF(C354="issue","Issued",IF(C354="transfer","Moved",IF(C354="write_off","Written off",IF(C354="unfilled","Unfilled",""))))))))</f>
      </c>
      <c r="B354" s="31"/>
      <c r="C354" s="35"/>
      <c r="D354" s="33"/>
      <c r="E354" s="31"/>
      <c r="F354" s="31"/>
      <c r="G354" s="37">
        <f>IF(F354="","",IF(ISNA(MATCH(F354,'Item master'!$A$2:$A$301,0)),"Not in Item master",IFERROR(INDEX('Item master'!$B$2:$B$301,MATCH(F354,'Item master'!$A$2:$A$301,0))&amp;"","")))</f>
      </c>
      <c r="H354" s="34"/>
      <c r="I354" s="31"/>
      <c r="J354" s="31"/>
      <c r="K354" s="33"/>
      <c r="L354" s="31"/>
      <c r="M354" s="35"/>
      <c r="N354" s="30"/>
      <c r="O354" s="30"/>
      <c r="P354" s="36"/>
      <c r="Q354" s="38">
        <f>IF(OR(C354&lt;&gt;"loan",E354=""),"",IF(ISNA(MATCH(E354,Units!$A$2:$A$501,0)),"",IF(INDEX(Units!$E$2:$E$501,MATCH(E354,Units!$A$2:$A$501,0))="","",IF(K354="","No due date",IF(INT(K354)&gt;INDEX(Units!$E$2:$E$501,MATCH(E354,Units!$A$2:$A$501,0)),"Past cal date","OK")))))</f>
      </c>
      <c r="R354" s="37">
        <f>IF(A354="Overdue",K354+ROW()/10000000,"")</f>
      </c>
    </row>
    <row r="355">
      <c r="A355" s="38">
        <f>IF(C355="","",IF(B355="","Needs ID",IF(OR(C355="loan",C355="send_out"),IF(COUNTIF($L$2:$L$1001,B355)&gt;0,"Closed",IF(K355="","Open",IF(K355&lt;NOW(),"Overdue","Open"))),IF(C355="return",IF(OR(L355="",COUNTIF($B$2:$B$1001,L355)=0),"No match",IF(OR(M355="worn",M355="damaged"),"Quarantine","Returned")),IF(C355="issue","Issued",IF(C355="transfer","Moved",IF(C355="write_off","Written off",IF(C355="unfilled","Unfilled",""))))))))</f>
      </c>
      <c r="B355" s="31"/>
      <c r="C355" s="35"/>
      <c r="D355" s="33"/>
      <c r="E355" s="31"/>
      <c r="F355" s="31"/>
      <c r="G355" s="37">
        <f>IF(F355="","",IF(ISNA(MATCH(F355,'Item master'!$A$2:$A$301,0)),"Not in Item master",IFERROR(INDEX('Item master'!$B$2:$B$301,MATCH(F355,'Item master'!$A$2:$A$301,0))&amp;"","")))</f>
      </c>
      <c r="H355" s="34"/>
      <c r="I355" s="31"/>
      <c r="J355" s="31"/>
      <c r="K355" s="33"/>
      <c r="L355" s="31"/>
      <c r="M355" s="35"/>
      <c r="N355" s="30"/>
      <c r="O355" s="30"/>
      <c r="P355" s="36"/>
      <c r="Q355" s="38">
        <f>IF(OR(C355&lt;&gt;"loan",E355=""),"",IF(ISNA(MATCH(E355,Units!$A$2:$A$501,0)),"",IF(INDEX(Units!$E$2:$E$501,MATCH(E355,Units!$A$2:$A$501,0))="","",IF(K355="","No due date",IF(INT(K355)&gt;INDEX(Units!$E$2:$E$501,MATCH(E355,Units!$A$2:$A$501,0)),"Past cal date","OK")))))</f>
      </c>
      <c r="R355" s="37">
        <f>IF(A355="Overdue",K355+ROW()/10000000,"")</f>
      </c>
    </row>
    <row r="356">
      <c r="A356" s="38">
        <f>IF(C356="","",IF(B356="","Needs ID",IF(OR(C356="loan",C356="send_out"),IF(COUNTIF($L$2:$L$1001,B356)&gt;0,"Closed",IF(K356="","Open",IF(K356&lt;NOW(),"Overdue","Open"))),IF(C356="return",IF(OR(L356="",COUNTIF($B$2:$B$1001,L356)=0),"No match",IF(OR(M356="worn",M356="damaged"),"Quarantine","Returned")),IF(C356="issue","Issued",IF(C356="transfer","Moved",IF(C356="write_off","Written off",IF(C356="unfilled","Unfilled",""))))))))</f>
      </c>
      <c r="B356" s="31"/>
      <c r="C356" s="35"/>
      <c r="D356" s="33"/>
      <c r="E356" s="31"/>
      <c r="F356" s="31"/>
      <c r="G356" s="37">
        <f>IF(F356="","",IF(ISNA(MATCH(F356,'Item master'!$A$2:$A$301,0)),"Not in Item master",IFERROR(INDEX('Item master'!$B$2:$B$301,MATCH(F356,'Item master'!$A$2:$A$301,0))&amp;"","")))</f>
      </c>
      <c r="H356" s="34"/>
      <c r="I356" s="31"/>
      <c r="J356" s="31"/>
      <c r="K356" s="33"/>
      <c r="L356" s="31"/>
      <c r="M356" s="35"/>
      <c r="N356" s="30"/>
      <c r="O356" s="30"/>
      <c r="P356" s="36"/>
      <c r="Q356" s="38">
        <f>IF(OR(C356&lt;&gt;"loan",E356=""),"",IF(ISNA(MATCH(E356,Units!$A$2:$A$501,0)),"",IF(INDEX(Units!$E$2:$E$501,MATCH(E356,Units!$A$2:$A$501,0))="","",IF(K356="","No due date",IF(INT(K356)&gt;INDEX(Units!$E$2:$E$501,MATCH(E356,Units!$A$2:$A$501,0)),"Past cal date","OK")))))</f>
      </c>
      <c r="R356" s="37">
        <f>IF(A356="Overdue",K356+ROW()/10000000,"")</f>
      </c>
    </row>
    <row r="357">
      <c r="A357" s="38">
        <f>IF(C357="","",IF(B357="","Needs ID",IF(OR(C357="loan",C357="send_out"),IF(COUNTIF($L$2:$L$1001,B357)&gt;0,"Closed",IF(K357="","Open",IF(K357&lt;NOW(),"Overdue","Open"))),IF(C357="return",IF(OR(L357="",COUNTIF($B$2:$B$1001,L357)=0),"No match",IF(OR(M357="worn",M357="damaged"),"Quarantine","Returned")),IF(C357="issue","Issued",IF(C357="transfer","Moved",IF(C357="write_off","Written off",IF(C357="unfilled","Unfilled",""))))))))</f>
      </c>
      <c r="B357" s="31"/>
      <c r="C357" s="35"/>
      <c r="D357" s="33"/>
      <c r="E357" s="31"/>
      <c r="F357" s="31"/>
      <c r="G357" s="37">
        <f>IF(F357="","",IF(ISNA(MATCH(F357,'Item master'!$A$2:$A$301,0)),"Not in Item master",IFERROR(INDEX('Item master'!$B$2:$B$301,MATCH(F357,'Item master'!$A$2:$A$301,0))&amp;"","")))</f>
      </c>
      <c r="H357" s="34"/>
      <c r="I357" s="31"/>
      <c r="J357" s="31"/>
      <c r="K357" s="33"/>
      <c r="L357" s="31"/>
      <c r="M357" s="35"/>
      <c r="N357" s="30"/>
      <c r="O357" s="30"/>
      <c r="P357" s="36"/>
      <c r="Q357" s="38">
        <f>IF(OR(C357&lt;&gt;"loan",E357=""),"",IF(ISNA(MATCH(E357,Units!$A$2:$A$501,0)),"",IF(INDEX(Units!$E$2:$E$501,MATCH(E357,Units!$A$2:$A$501,0))="","",IF(K357="","No due date",IF(INT(K357)&gt;INDEX(Units!$E$2:$E$501,MATCH(E357,Units!$A$2:$A$501,0)),"Past cal date","OK")))))</f>
      </c>
      <c r="R357" s="37">
        <f>IF(A357="Overdue",K357+ROW()/10000000,"")</f>
      </c>
    </row>
    <row r="358">
      <c r="A358" s="38">
        <f>IF(C358="","",IF(B358="","Needs ID",IF(OR(C358="loan",C358="send_out"),IF(COUNTIF($L$2:$L$1001,B358)&gt;0,"Closed",IF(K358="","Open",IF(K358&lt;NOW(),"Overdue","Open"))),IF(C358="return",IF(OR(L358="",COUNTIF($B$2:$B$1001,L358)=0),"No match",IF(OR(M358="worn",M358="damaged"),"Quarantine","Returned")),IF(C358="issue","Issued",IF(C358="transfer","Moved",IF(C358="write_off","Written off",IF(C358="unfilled","Unfilled",""))))))))</f>
      </c>
      <c r="B358" s="31"/>
      <c r="C358" s="35"/>
      <c r="D358" s="33"/>
      <c r="E358" s="31"/>
      <c r="F358" s="31"/>
      <c r="G358" s="37">
        <f>IF(F358="","",IF(ISNA(MATCH(F358,'Item master'!$A$2:$A$301,0)),"Not in Item master",IFERROR(INDEX('Item master'!$B$2:$B$301,MATCH(F358,'Item master'!$A$2:$A$301,0))&amp;"","")))</f>
      </c>
      <c r="H358" s="34"/>
      <c r="I358" s="31"/>
      <c r="J358" s="31"/>
      <c r="K358" s="33"/>
      <c r="L358" s="31"/>
      <c r="M358" s="35"/>
      <c r="N358" s="30"/>
      <c r="O358" s="30"/>
      <c r="P358" s="36"/>
      <c r="Q358" s="38">
        <f>IF(OR(C358&lt;&gt;"loan",E358=""),"",IF(ISNA(MATCH(E358,Units!$A$2:$A$501,0)),"",IF(INDEX(Units!$E$2:$E$501,MATCH(E358,Units!$A$2:$A$501,0))="","",IF(K358="","No due date",IF(INT(K358)&gt;INDEX(Units!$E$2:$E$501,MATCH(E358,Units!$A$2:$A$501,0)),"Past cal date","OK")))))</f>
      </c>
      <c r="R358" s="37">
        <f>IF(A358="Overdue",K358+ROW()/10000000,"")</f>
      </c>
    </row>
    <row r="359">
      <c r="A359" s="38">
        <f>IF(C359="","",IF(B359="","Needs ID",IF(OR(C359="loan",C359="send_out"),IF(COUNTIF($L$2:$L$1001,B359)&gt;0,"Closed",IF(K359="","Open",IF(K359&lt;NOW(),"Overdue","Open"))),IF(C359="return",IF(OR(L359="",COUNTIF($B$2:$B$1001,L359)=0),"No match",IF(OR(M359="worn",M359="damaged"),"Quarantine","Returned")),IF(C359="issue","Issued",IF(C359="transfer","Moved",IF(C359="write_off","Written off",IF(C359="unfilled","Unfilled",""))))))))</f>
      </c>
      <c r="B359" s="31"/>
      <c r="C359" s="35"/>
      <c r="D359" s="33"/>
      <c r="E359" s="31"/>
      <c r="F359" s="31"/>
      <c r="G359" s="37">
        <f>IF(F359="","",IF(ISNA(MATCH(F359,'Item master'!$A$2:$A$301,0)),"Not in Item master",IFERROR(INDEX('Item master'!$B$2:$B$301,MATCH(F359,'Item master'!$A$2:$A$301,0))&amp;"","")))</f>
      </c>
      <c r="H359" s="34"/>
      <c r="I359" s="31"/>
      <c r="J359" s="31"/>
      <c r="K359" s="33"/>
      <c r="L359" s="31"/>
      <c r="M359" s="35"/>
      <c r="N359" s="30"/>
      <c r="O359" s="30"/>
      <c r="P359" s="36"/>
      <c r="Q359" s="38">
        <f>IF(OR(C359&lt;&gt;"loan",E359=""),"",IF(ISNA(MATCH(E359,Units!$A$2:$A$501,0)),"",IF(INDEX(Units!$E$2:$E$501,MATCH(E359,Units!$A$2:$A$501,0))="","",IF(K359="","No due date",IF(INT(K359)&gt;INDEX(Units!$E$2:$E$501,MATCH(E359,Units!$A$2:$A$501,0)),"Past cal date","OK")))))</f>
      </c>
      <c r="R359" s="37">
        <f>IF(A359="Overdue",K359+ROW()/10000000,"")</f>
      </c>
    </row>
    <row r="360">
      <c r="A360" s="38">
        <f>IF(C360="","",IF(B360="","Needs ID",IF(OR(C360="loan",C360="send_out"),IF(COUNTIF($L$2:$L$1001,B360)&gt;0,"Closed",IF(K360="","Open",IF(K360&lt;NOW(),"Overdue","Open"))),IF(C360="return",IF(OR(L360="",COUNTIF($B$2:$B$1001,L360)=0),"No match",IF(OR(M360="worn",M360="damaged"),"Quarantine","Returned")),IF(C360="issue","Issued",IF(C360="transfer","Moved",IF(C360="write_off","Written off",IF(C360="unfilled","Unfilled",""))))))))</f>
      </c>
      <c r="B360" s="31"/>
      <c r="C360" s="35"/>
      <c r="D360" s="33"/>
      <c r="E360" s="31"/>
      <c r="F360" s="31"/>
      <c r="G360" s="37">
        <f>IF(F360="","",IF(ISNA(MATCH(F360,'Item master'!$A$2:$A$301,0)),"Not in Item master",IFERROR(INDEX('Item master'!$B$2:$B$301,MATCH(F360,'Item master'!$A$2:$A$301,0))&amp;"","")))</f>
      </c>
      <c r="H360" s="34"/>
      <c r="I360" s="31"/>
      <c r="J360" s="31"/>
      <c r="K360" s="33"/>
      <c r="L360" s="31"/>
      <c r="M360" s="35"/>
      <c r="N360" s="30"/>
      <c r="O360" s="30"/>
      <c r="P360" s="36"/>
      <c r="Q360" s="38">
        <f>IF(OR(C360&lt;&gt;"loan",E360=""),"",IF(ISNA(MATCH(E360,Units!$A$2:$A$501,0)),"",IF(INDEX(Units!$E$2:$E$501,MATCH(E360,Units!$A$2:$A$501,0))="","",IF(K360="","No due date",IF(INT(K360)&gt;INDEX(Units!$E$2:$E$501,MATCH(E360,Units!$A$2:$A$501,0)),"Past cal date","OK")))))</f>
      </c>
      <c r="R360" s="37">
        <f>IF(A360="Overdue",K360+ROW()/10000000,"")</f>
      </c>
    </row>
    <row r="361">
      <c r="A361" s="38">
        <f>IF(C361="","",IF(B361="","Needs ID",IF(OR(C361="loan",C361="send_out"),IF(COUNTIF($L$2:$L$1001,B361)&gt;0,"Closed",IF(K361="","Open",IF(K361&lt;NOW(),"Overdue","Open"))),IF(C361="return",IF(OR(L361="",COUNTIF($B$2:$B$1001,L361)=0),"No match",IF(OR(M361="worn",M361="damaged"),"Quarantine","Returned")),IF(C361="issue","Issued",IF(C361="transfer","Moved",IF(C361="write_off","Written off",IF(C361="unfilled","Unfilled",""))))))))</f>
      </c>
      <c r="B361" s="31"/>
      <c r="C361" s="35"/>
      <c r="D361" s="33"/>
      <c r="E361" s="31"/>
      <c r="F361" s="31"/>
      <c r="G361" s="37">
        <f>IF(F361="","",IF(ISNA(MATCH(F361,'Item master'!$A$2:$A$301,0)),"Not in Item master",IFERROR(INDEX('Item master'!$B$2:$B$301,MATCH(F361,'Item master'!$A$2:$A$301,0))&amp;"","")))</f>
      </c>
      <c r="H361" s="34"/>
      <c r="I361" s="31"/>
      <c r="J361" s="31"/>
      <c r="K361" s="33"/>
      <c r="L361" s="31"/>
      <c r="M361" s="35"/>
      <c r="N361" s="30"/>
      <c r="O361" s="30"/>
      <c r="P361" s="36"/>
      <c r="Q361" s="38">
        <f>IF(OR(C361&lt;&gt;"loan",E361=""),"",IF(ISNA(MATCH(E361,Units!$A$2:$A$501,0)),"",IF(INDEX(Units!$E$2:$E$501,MATCH(E361,Units!$A$2:$A$501,0))="","",IF(K361="","No due date",IF(INT(K361)&gt;INDEX(Units!$E$2:$E$501,MATCH(E361,Units!$A$2:$A$501,0)),"Past cal date","OK")))))</f>
      </c>
      <c r="R361" s="37">
        <f>IF(A361="Overdue",K361+ROW()/10000000,"")</f>
      </c>
    </row>
    <row r="362">
      <c r="A362" s="38">
        <f>IF(C362="","",IF(B362="","Needs ID",IF(OR(C362="loan",C362="send_out"),IF(COUNTIF($L$2:$L$1001,B362)&gt;0,"Closed",IF(K362="","Open",IF(K362&lt;NOW(),"Overdue","Open"))),IF(C362="return",IF(OR(L362="",COUNTIF($B$2:$B$1001,L362)=0),"No match",IF(OR(M362="worn",M362="damaged"),"Quarantine","Returned")),IF(C362="issue","Issued",IF(C362="transfer","Moved",IF(C362="write_off","Written off",IF(C362="unfilled","Unfilled",""))))))))</f>
      </c>
      <c r="B362" s="31"/>
      <c r="C362" s="35"/>
      <c r="D362" s="33"/>
      <c r="E362" s="31"/>
      <c r="F362" s="31"/>
      <c r="G362" s="37">
        <f>IF(F362="","",IF(ISNA(MATCH(F362,'Item master'!$A$2:$A$301,0)),"Not in Item master",IFERROR(INDEX('Item master'!$B$2:$B$301,MATCH(F362,'Item master'!$A$2:$A$301,0))&amp;"","")))</f>
      </c>
      <c r="H362" s="34"/>
      <c r="I362" s="31"/>
      <c r="J362" s="31"/>
      <c r="K362" s="33"/>
      <c r="L362" s="31"/>
      <c r="M362" s="35"/>
      <c r="N362" s="30"/>
      <c r="O362" s="30"/>
      <c r="P362" s="36"/>
      <c r="Q362" s="38">
        <f>IF(OR(C362&lt;&gt;"loan",E362=""),"",IF(ISNA(MATCH(E362,Units!$A$2:$A$501,0)),"",IF(INDEX(Units!$E$2:$E$501,MATCH(E362,Units!$A$2:$A$501,0))="","",IF(K362="","No due date",IF(INT(K362)&gt;INDEX(Units!$E$2:$E$501,MATCH(E362,Units!$A$2:$A$501,0)),"Past cal date","OK")))))</f>
      </c>
      <c r="R362" s="37">
        <f>IF(A362="Overdue",K362+ROW()/10000000,"")</f>
      </c>
    </row>
    <row r="363">
      <c r="A363" s="38">
        <f>IF(C363="","",IF(B363="","Needs ID",IF(OR(C363="loan",C363="send_out"),IF(COUNTIF($L$2:$L$1001,B363)&gt;0,"Closed",IF(K363="","Open",IF(K363&lt;NOW(),"Overdue","Open"))),IF(C363="return",IF(OR(L363="",COUNTIF($B$2:$B$1001,L363)=0),"No match",IF(OR(M363="worn",M363="damaged"),"Quarantine","Returned")),IF(C363="issue","Issued",IF(C363="transfer","Moved",IF(C363="write_off","Written off",IF(C363="unfilled","Unfilled",""))))))))</f>
      </c>
      <c r="B363" s="31"/>
      <c r="C363" s="35"/>
      <c r="D363" s="33"/>
      <c r="E363" s="31"/>
      <c r="F363" s="31"/>
      <c r="G363" s="37">
        <f>IF(F363="","",IF(ISNA(MATCH(F363,'Item master'!$A$2:$A$301,0)),"Not in Item master",IFERROR(INDEX('Item master'!$B$2:$B$301,MATCH(F363,'Item master'!$A$2:$A$301,0))&amp;"","")))</f>
      </c>
      <c r="H363" s="34"/>
      <c r="I363" s="31"/>
      <c r="J363" s="31"/>
      <c r="K363" s="33"/>
      <c r="L363" s="31"/>
      <c r="M363" s="35"/>
      <c r="N363" s="30"/>
      <c r="O363" s="30"/>
      <c r="P363" s="36"/>
      <c r="Q363" s="38">
        <f>IF(OR(C363&lt;&gt;"loan",E363=""),"",IF(ISNA(MATCH(E363,Units!$A$2:$A$501,0)),"",IF(INDEX(Units!$E$2:$E$501,MATCH(E363,Units!$A$2:$A$501,0))="","",IF(K363="","No due date",IF(INT(K363)&gt;INDEX(Units!$E$2:$E$501,MATCH(E363,Units!$A$2:$A$501,0)),"Past cal date","OK")))))</f>
      </c>
      <c r="R363" s="37">
        <f>IF(A363="Overdue",K363+ROW()/10000000,"")</f>
      </c>
    </row>
    <row r="364">
      <c r="A364" s="38">
        <f>IF(C364="","",IF(B364="","Needs ID",IF(OR(C364="loan",C364="send_out"),IF(COUNTIF($L$2:$L$1001,B364)&gt;0,"Closed",IF(K364="","Open",IF(K364&lt;NOW(),"Overdue","Open"))),IF(C364="return",IF(OR(L364="",COUNTIF($B$2:$B$1001,L364)=0),"No match",IF(OR(M364="worn",M364="damaged"),"Quarantine","Returned")),IF(C364="issue","Issued",IF(C364="transfer","Moved",IF(C364="write_off","Written off",IF(C364="unfilled","Unfilled",""))))))))</f>
      </c>
      <c r="B364" s="31"/>
      <c r="C364" s="35"/>
      <c r="D364" s="33"/>
      <c r="E364" s="31"/>
      <c r="F364" s="31"/>
      <c r="G364" s="37">
        <f>IF(F364="","",IF(ISNA(MATCH(F364,'Item master'!$A$2:$A$301,0)),"Not in Item master",IFERROR(INDEX('Item master'!$B$2:$B$301,MATCH(F364,'Item master'!$A$2:$A$301,0))&amp;"","")))</f>
      </c>
      <c r="H364" s="34"/>
      <c r="I364" s="31"/>
      <c r="J364" s="31"/>
      <c r="K364" s="33"/>
      <c r="L364" s="31"/>
      <c r="M364" s="35"/>
      <c r="N364" s="30"/>
      <c r="O364" s="30"/>
      <c r="P364" s="36"/>
      <c r="Q364" s="38">
        <f>IF(OR(C364&lt;&gt;"loan",E364=""),"",IF(ISNA(MATCH(E364,Units!$A$2:$A$501,0)),"",IF(INDEX(Units!$E$2:$E$501,MATCH(E364,Units!$A$2:$A$501,0))="","",IF(K364="","No due date",IF(INT(K364)&gt;INDEX(Units!$E$2:$E$501,MATCH(E364,Units!$A$2:$A$501,0)),"Past cal date","OK")))))</f>
      </c>
      <c r="R364" s="37">
        <f>IF(A364="Overdue",K364+ROW()/10000000,"")</f>
      </c>
    </row>
    <row r="365">
      <c r="A365" s="38">
        <f>IF(C365="","",IF(B365="","Needs ID",IF(OR(C365="loan",C365="send_out"),IF(COUNTIF($L$2:$L$1001,B365)&gt;0,"Closed",IF(K365="","Open",IF(K365&lt;NOW(),"Overdue","Open"))),IF(C365="return",IF(OR(L365="",COUNTIF($B$2:$B$1001,L365)=0),"No match",IF(OR(M365="worn",M365="damaged"),"Quarantine","Returned")),IF(C365="issue","Issued",IF(C365="transfer","Moved",IF(C365="write_off","Written off",IF(C365="unfilled","Unfilled",""))))))))</f>
      </c>
      <c r="B365" s="31"/>
      <c r="C365" s="35"/>
      <c r="D365" s="33"/>
      <c r="E365" s="31"/>
      <c r="F365" s="31"/>
      <c r="G365" s="37">
        <f>IF(F365="","",IF(ISNA(MATCH(F365,'Item master'!$A$2:$A$301,0)),"Not in Item master",IFERROR(INDEX('Item master'!$B$2:$B$301,MATCH(F365,'Item master'!$A$2:$A$301,0))&amp;"","")))</f>
      </c>
      <c r="H365" s="34"/>
      <c r="I365" s="31"/>
      <c r="J365" s="31"/>
      <c r="K365" s="33"/>
      <c r="L365" s="31"/>
      <c r="M365" s="35"/>
      <c r="N365" s="30"/>
      <c r="O365" s="30"/>
      <c r="P365" s="36"/>
      <c r="Q365" s="38">
        <f>IF(OR(C365&lt;&gt;"loan",E365=""),"",IF(ISNA(MATCH(E365,Units!$A$2:$A$501,0)),"",IF(INDEX(Units!$E$2:$E$501,MATCH(E365,Units!$A$2:$A$501,0))="","",IF(K365="","No due date",IF(INT(K365)&gt;INDEX(Units!$E$2:$E$501,MATCH(E365,Units!$A$2:$A$501,0)),"Past cal date","OK")))))</f>
      </c>
      <c r="R365" s="37">
        <f>IF(A365="Overdue",K365+ROW()/10000000,"")</f>
      </c>
    </row>
    <row r="366">
      <c r="A366" s="38">
        <f>IF(C366="","",IF(B366="","Needs ID",IF(OR(C366="loan",C366="send_out"),IF(COUNTIF($L$2:$L$1001,B366)&gt;0,"Closed",IF(K366="","Open",IF(K366&lt;NOW(),"Overdue","Open"))),IF(C366="return",IF(OR(L366="",COUNTIF($B$2:$B$1001,L366)=0),"No match",IF(OR(M366="worn",M366="damaged"),"Quarantine","Returned")),IF(C366="issue","Issued",IF(C366="transfer","Moved",IF(C366="write_off","Written off",IF(C366="unfilled","Unfilled",""))))))))</f>
      </c>
      <c r="B366" s="31"/>
      <c r="C366" s="35"/>
      <c r="D366" s="33"/>
      <c r="E366" s="31"/>
      <c r="F366" s="31"/>
      <c r="G366" s="37">
        <f>IF(F366="","",IF(ISNA(MATCH(F366,'Item master'!$A$2:$A$301,0)),"Not in Item master",IFERROR(INDEX('Item master'!$B$2:$B$301,MATCH(F366,'Item master'!$A$2:$A$301,0))&amp;"","")))</f>
      </c>
      <c r="H366" s="34"/>
      <c r="I366" s="31"/>
      <c r="J366" s="31"/>
      <c r="K366" s="33"/>
      <c r="L366" s="31"/>
      <c r="M366" s="35"/>
      <c r="N366" s="30"/>
      <c r="O366" s="30"/>
      <c r="P366" s="36"/>
      <c r="Q366" s="38">
        <f>IF(OR(C366&lt;&gt;"loan",E366=""),"",IF(ISNA(MATCH(E366,Units!$A$2:$A$501,0)),"",IF(INDEX(Units!$E$2:$E$501,MATCH(E366,Units!$A$2:$A$501,0))="","",IF(K366="","No due date",IF(INT(K366)&gt;INDEX(Units!$E$2:$E$501,MATCH(E366,Units!$A$2:$A$501,0)),"Past cal date","OK")))))</f>
      </c>
      <c r="R366" s="37">
        <f>IF(A366="Overdue",K366+ROW()/10000000,"")</f>
      </c>
    </row>
    <row r="367">
      <c r="A367" s="38">
        <f>IF(C367="","",IF(B367="","Needs ID",IF(OR(C367="loan",C367="send_out"),IF(COUNTIF($L$2:$L$1001,B367)&gt;0,"Closed",IF(K367="","Open",IF(K367&lt;NOW(),"Overdue","Open"))),IF(C367="return",IF(OR(L367="",COUNTIF($B$2:$B$1001,L367)=0),"No match",IF(OR(M367="worn",M367="damaged"),"Quarantine","Returned")),IF(C367="issue","Issued",IF(C367="transfer","Moved",IF(C367="write_off","Written off",IF(C367="unfilled","Unfilled",""))))))))</f>
      </c>
      <c r="B367" s="31"/>
      <c r="C367" s="35"/>
      <c r="D367" s="33"/>
      <c r="E367" s="31"/>
      <c r="F367" s="31"/>
      <c r="G367" s="37">
        <f>IF(F367="","",IF(ISNA(MATCH(F367,'Item master'!$A$2:$A$301,0)),"Not in Item master",IFERROR(INDEX('Item master'!$B$2:$B$301,MATCH(F367,'Item master'!$A$2:$A$301,0))&amp;"","")))</f>
      </c>
      <c r="H367" s="34"/>
      <c r="I367" s="31"/>
      <c r="J367" s="31"/>
      <c r="K367" s="33"/>
      <c r="L367" s="31"/>
      <c r="M367" s="35"/>
      <c r="N367" s="30"/>
      <c r="O367" s="30"/>
      <c r="P367" s="36"/>
      <c r="Q367" s="38">
        <f>IF(OR(C367&lt;&gt;"loan",E367=""),"",IF(ISNA(MATCH(E367,Units!$A$2:$A$501,0)),"",IF(INDEX(Units!$E$2:$E$501,MATCH(E367,Units!$A$2:$A$501,0))="","",IF(K367="","No due date",IF(INT(K367)&gt;INDEX(Units!$E$2:$E$501,MATCH(E367,Units!$A$2:$A$501,0)),"Past cal date","OK")))))</f>
      </c>
      <c r="R367" s="37">
        <f>IF(A367="Overdue",K367+ROW()/10000000,"")</f>
      </c>
    </row>
    <row r="368">
      <c r="A368" s="38">
        <f>IF(C368="","",IF(B368="","Needs ID",IF(OR(C368="loan",C368="send_out"),IF(COUNTIF($L$2:$L$1001,B368)&gt;0,"Closed",IF(K368="","Open",IF(K368&lt;NOW(),"Overdue","Open"))),IF(C368="return",IF(OR(L368="",COUNTIF($B$2:$B$1001,L368)=0),"No match",IF(OR(M368="worn",M368="damaged"),"Quarantine","Returned")),IF(C368="issue","Issued",IF(C368="transfer","Moved",IF(C368="write_off","Written off",IF(C368="unfilled","Unfilled",""))))))))</f>
      </c>
      <c r="B368" s="31"/>
      <c r="C368" s="35"/>
      <c r="D368" s="33"/>
      <c r="E368" s="31"/>
      <c r="F368" s="31"/>
      <c r="G368" s="37">
        <f>IF(F368="","",IF(ISNA(MATCH(F368,'Item master'!$A$2:$A$301,0)),"Not in Item master",IFERROR(INDEX('Item master'!$B$2:$B$301,MATCH(F368,'Item master'!$A$2:$A$301,0))&amp;"","")))</f>
      </c>
      <c r="H368" s="34"/>
      <c r="I368" s="31"/>
      <c r="J368" s="31"/>
      <c r="K368" s="33"/>
      <c r="L368" s="31"/>
      <c r="M368" s="35"/>
      <c r="N368" s="30"/>
      <c r="O368" s="30"/>
      <c r="P368" s="36"/>
      <c r="Q368" s="38">
        <f>IF(OR(C368&lt;&gt;"loan",E368=""),"",IF(ISNA(MATCH(E368,Units!$A$2:$A$501,0)),"",IF(INDEX(Units!$E$2:$E$501,MATCH(E368,Units!$A$2:$A$501,0))="","",IF(K368="","No due date",IF(INT(K368)&gt;INDEX(Units!$E$2:$E$501,MATCH(E368,Units!$A$2:$A$501,0)),"Past cal date","OK")))))</f>
      </c>
      <c r="R368" s="37">
        <f>IF(A368="Overdue",K368+ROW()/10000000,"")</f>
      </c>
    </row>
    <row r="369">
      <c r="A369" s="38">
        <f>IF(C369="","",IF(B369="","Needs ID",IF(OR(C369="loan",C369="send_out"),IF(COUNTIF($L$2:$L$1001,B369)&gt;0,"Closed",IF(K369="","Open",IF(K369&lt;NOW(),"Overdue","Open"))),IF(C369="return",IF(OR(L369="",COUNTIF($B$2:$B$1001,L369)=0),"No match",IF(OR(M369="worn",M369="damaged"),"Quarantine","Returned")),IF(C369="issue","Issued",IF(C369="transfer","Moved",IF(C369="write_off","Written off",IF(C369="unfilled","Unfilled",""))))))))</f>
      </c>
      <c r="B369" s="31"/>
      <c r="C369" s="35"/>
      <c r="D369" s="33"/>
      <c r="E369" s="31"/>
      <c r="F369" s="31"/>
      <c r="G369" s="37">
        <f>IF(F369="","",IF(ISNA(MATCH(F369,'Item master'!$A$2:$A$301,0)),"Not in Item master",IFERROR(INDEX('Item master'!$B$2:$B$301,MATCH(F369,'Item master'!$A$2:$A$301,0))&amp;"","")))</f>
      </c>
      <c r="H369" s="34"/>
      <c r="I369" s="31"/>
      <c r="J369" s="31"/>
      <c r="K369" s="33"/>
      <c r="L369" s="31"/>
      <c r="M369" s="35"/>
      <c r="N369" s="30"/>
      <c r="O369" s="30"/>
      <c r="P369" s="36"/>
      <c r="Q369" s="38">
        <f>IF(OR(C369&lt;&gt;"loan",E369=""),"",IF(ISNA(MATCH(E369,Units!$A$2:$A$501,0)),"",IF(INDEX(Units!$E$2:$E$501,MATCH(E369,Units!$A$2:$A$501,0))="","",IF(K369="","No due date",IF(INT(K369)&gt;INDEX(Units!$E$2:$E$501,MATCH(E369,Units!$A$2:$A$501,0)),"Past cal date","OK")))))</f>
      </c>
      <c r="R369" s="37">
        <f>IF(A369="Overdue",K369+ROW()/10000000,"")</f>
      </c>
    </row>
    <row r="370">
      <c r="A370" s="38">
        <f>IF(C370="","",IF(B370="","Needs ID",IF(OR(C370="loan",C370="send_out"),IF(COUNTIF($L$2:$L$1001,B370)&gt;0,"Closed",IF(K370="","Open",IF(K370&lt;NOW(),"Overdue","Open"))),IF(C370="return",IF(OR(L370="",COUNTIF($B$2:$B$1001,L370)=0),"No match",IF(OR(M370="worn",M370="damaged"),"Quarantine","Returned")),IF(C370="issue","Issued",IF(C370="transfer","Moved",IF(C370="write_off","Written off",IF(C370="unfilled","Unfilled",""))))))))</f>
      </c>
      <c r="B370" s="31"/>
      <c r="C370" s="35"/>
      <c r="D370" s="33"/>
      <c r="E370" s="31"/>
      <c r="F370" s="31"/>
      <c r="G370" s="37">
        <f>IF(F370="","",IF(ISNA(MATCH(F370,'Item master'!$A$2:$A$301,0)),"Not in Item master",IFERROR(INDEX('Item master'!$B$2:$B$301,MATCH(F370,'Item master'!$A$2:$A$301,0))&amp;"","")))</f>
      </c>
      <c r="H370" s="34"/>
      <c r="I370" s="31"/>
      <c r="J370" s="31"/>
      <c r="K370" s="33"/>
      <c r="L370" s="31"/>
      <c r="M370" s="35"/>
      <c r="N370" s="30"/>
      <c r="O370" s="30"/>
      <c r="P370" s="36"/>
      <c r="Q370" s="38">
        <f>IF(OR(C370&lt;&gt;"loan",E370=""),"",IF(ISNA(MATCH(E370,Units!$A$2:$A$501,0)),"",IF(INDEX(Units!$E$2:$E$501,MATCH(E370,Units!$A$2:$A$501,0))="","",IF(K370="","No due date",IF(INT(K370)&gt;INDEX(Units!$E$2:$E$501,MATCH(E370,Units!$A$2:$A$501,0)),"Past cal date","OK")))))</f>
      </c>
      <c r="R370" s="37">
        <f>IF(A370="Overdue",K370+ROW()/10000000,"")</f>
      </c>
    </row>
    <row r="371">
      <c r="A371" s="38">
        <f>IF(C371="","",IF(B371="","Needs ID",IF(OR(C371="loan",C371="send_out"),IF(COUNTIF($L$2:$L$1001,B371)&gt;0,"Closed",IF(K371="","Open",IF(K371&lt;NOW(),"Overdue","Open"))),IF(C371="return",IF(OR(L371="",COUNTIF($B$2:$B$1001,L371)=0),"No match",IF(OR(M371="worn",M371="damaged"),"Quarantine","Returned")),IF(C371="issue","Issued",IF(C371="transfer","Moved",IF(C371="write_off","Written off",IF(C371="unfilled","Unfilled",""))))))))</f>
      </c>
      <c r="B371" s="31"/>
      <c r="C371" s="35"/>
      <c r="D371" s="33"/>
      <c r="E371" s="31"/>
      <c r="F371" s="31"/>
      <c r="G371" s="37">
        <f>IF(F371="","",IF(ISNA(MATCH(F371,'Item master'!$A$2:$A$301,0)),"Not in Item master",IFERROR(INDEX('Item master'!$B$2:$B$301,MATCH(F371,'Item master'!$A$2:$A$301,0))&amp;"","")))</f>
      </c>
      <c r="H371" s="34"/>
      <c r="I371" s="31"/>
      <c r="J371" s="31"/>
      <c r="K371" s="33"/>
      <c r="L371" s="31"/>
      <c r="M371" s="35"/>
      <c r="N371" s="30"/>
      <c r="O371" s="30"/>
      <c r="P371" s="36"/>
      <c r="Q371" s="38">
        <f>IF(OR(C371&lt;&gt;"loan",E371=""),"",IF(ISNA(MATCH(E371,Units!$A$2:$A$501,0)),"",IF(INDEX(Units!$E$2:$E$501,MATCH(E371,Units!$A$2:$A$501,0))="","",IF(K371="","No due date",IF(INT(K371)&gt;INDEX(Units!$E$2:$E$501,MATCH(E371,Units!$A$2:$A$501,0)),"Past cal date","OK")))))</f>
      </c>
      <c r="R371" s="37">
        <f>IF(A371="Overdue",K371+ROW()/10000000,"")</f>
      </c>
    </row>
    <row r="372">
      <c r="A372" s="38">
        <f>IF(C372="","",IF(B372="","Needs ID",IF(OR(C372="loan",C372="send_out"),IF(COUNTIF($L$2:$L$1001,B372)&gt;0,"Closed",IF(K372="","Open",IF(K372&lt;NOW(),"Overdue","Open"))),IF(C372="return",IF(OR(L372="",COUNTIF($B$2:$B$1001,L372)=0),"No match",IF(OR(M372="worn",M372="damaged"),"Quarantine","Returned")),IF(C372="issue","Issued",IF(C372="transfer","Moved",IF(C372="write_off","Written off",IF(C372="unfilled","Unfilled",""))))))))</f>
      </c>
      <c r="B372" s="31"/>
      <c r="C372" s="35"/>
      <c r="D372" s="33"/>
      <c r="E372" s="31"/>
      <c r="F372" s="31"/>
      <c r="G372" s="37">
        <f>IF(F372="","",IF(ISNA(MATCH(F372,'Item master'!$A$2:$A$301,0)),"Not in Item master",IFERROR(INDEX('Item master'!$B$2:$B$301,MATCH(F372,'Item master'!$A$2:$A$301,0))&amp;"","")))</f>
      </c>
      <c r="H372" s="34"/>
      <c r="I372" s="31"/>
      <c r="J372" s="31"/>
      <c r="K372" s="33"/>
      <c r="L372" s="31"/>
      <c r="M372" s="35"/>
      <c r="N372" s="30"/>
      <c r="O372" s="30"/>
      <c r="P372" s="36"/>
      <c r="Q372" s="38">
        <f>IF(OR(C372&lt;&gt;"loan",E372=""),"",IF(ISNA(MATCH(E372,Units!$A$2:$A$501,0)),"",IF(INDEX(Units!$E$2:$E$501,MATCH(E372,Units!$A$2:$A$501,0))="","",IF(K372="","No due date",IF(INT(K372)&gt;INDEX(Units!$E$2:$E$501,MATCH(E372,Units!$A$2:$A$501,0)),"Past cal date","OK")))))</f>
      </c>
      <c r="R372" s="37">
        <f>IF(A372="Overdue",K372+ROW()/10000000,"")</f>
      </c>
    </row>
    <row r="373">
      <c r="A373" s="38">
        <f>IF(C373="","",IF(B373="","Needs ID",IF(OR(C373="loan",C373="send_out"),IF(COUNTIF($L$2:$L$1001,B373)&gt;0,"Closed",IF(K373="","Open",IF(K373&lt;NOW(),"Overdue","Open"))),IF(C373="return",IF(OR(L373="",COUNTIF($B$2:$B$1001,L373)=0),"No match",IF(OR(M373="worn",M373="damaged"),"Quarantine","Returned")),IF(C373="issue","Issued",IF(C373="transfer","Moved",IF(C373="write_off","Written off",IF(C373="unfilled","Unfilled",""))))))))</f>
      </c>
      <c r="B373" s="31"/>
      <c r="C373" s="35"/>
      <c r="D373" s="33"/>
      <c r="E373" s="31"/>
      <c r="F373" s="31"/>
      <c r="G373" s="37">
        <f>IF(F373="","",IF(ISNA(MATCH(F373,'Item master'!$A$2:$A$301,0)),"Not in Item master",IFERROR(INDEX('Item master'!$B$2:$B$301,MATCH(F373,'Item master'!$A$2:$A$301,0))&amp;"","")))</f>
      </c>
      <c r="H373" s="34"/>
      <c r="I373" s="31"/>
      <c r="J373" s="31"/>
      <c r="K373" s="33"/>
      <c r="L373" s="31"/>
      <c r="M373" s="35"/>
      <c r="N373" s="30"/>
      <c r="O373" s="30"/>
      <c r="P373" s="36"/>
      <c r="Q373" s="38">
        <f>IF(OR(C373&lt;&gt;"loan",E373=""),"",IF(ISNA(MATCH(E373,Units!$A$2:$A$501,0)),"",IF(INDEX(Units!$E$2:$E$501,MATCH(E373,Units!$A$2:$A$501,0))="","",IF(K373="","No due date",IF(INT(K373)&gt;INDEX(Units!$E$2:$E$501,MATCH(E373,Units!$A$2:$A$501,0)),"Past cal date","OK")))))</f>
      </c>
      <c r="R373" s="37">
        <f>IF(A373="Overdue",K373+ROW()/10000000,"")</f>
      </c>
    </row>
    <row r="374">
      <c r="A374" s="38">
        <f>IF(C374="","",IF(B374="","Needs ID",IF(OR(C374="loan",C374="send_out"),IF(COUNTIF($L$2:$L$1001,B374)&gt;0,"Closed",IF(K374="","Open",IF(K374&lt;NOW(),"Overdue","Open"))),IF(C374="return",IF(OR(L374="",COUNTIF($B$2:$B$1001,L374)=0),"No match",IF(OR(M374="worn",M374="damaged"),"Quarantine","Returned")),IF(C374="issue","Issued",IF(C374="transfer","Moved",IF(C374="write_off","Written off",IF(C374="unfilled","Unfilled",""))))))))</f>
      </c>
      <c r="B374" s="31"/>
      <c r="C374" s="35"/>
      <c r="D374" s="33"/>
      <c r="E374" s="31"/>
      <c r="F374" s="31"/>
      <c r="G374" s="37">
        <f>IF(F374="","",IF(ISNA(MATCH(F374,'Item master'!$A$2:$A$301,0)),"Not in Item master",IFERROR(INDEX('Item master'!$B$2:$B$301,MATCH(F374,'Item master'!$A$2:$A$301,0))&amp;"","")))</f>
      </c>
      <c r="H374" s="34"/>
      <c r="I374" s="31"/>
      <c r="J374" s="31"/>
      <c r="K374" s="33"/>
      <c r="L374" s="31"/>
      <c r="M374" s="35"/>
      <c r="N374" s="30"/>
      <c r="O374" s="30"/>
      <c r="P374" s="36"/>
      <c r="Q374" s="38">
        <f>IF(OR(C374&lt;&gt;"loan",E374=""),"",IF(ISNA(MATCH(E374,Units!$A$2:$A$501,0)),"",IF(INDEX(Units!$E$2:$E$501,MATCH(E374,Units!$A$2:$A$501,0))="","",IF(K374="","No due date",IF(INT(K374)&gt;INDEX(Units!$E$2:$E$501,MATCH(E374,Units!$A$2:$A$501,0)),"Past cal date","OK")))))</f>
      </c>
      <c r="R374" s="37">
        <f>IF(A374="Overdue",K374+ROW()/10000000,"")</f>
      </c>
    </row>
    <row r="375">
      <c r="A375" s="38">
        <f>IF(C375="","",IF(B375="","Needs ID",IF(OR(C375="loan",C375="send_out"),IF(COUNTIF($L$2:$L$1001,B375)&gt;0,"Closed",IF(K375="","Open",IF(K375&lt;NOW(),"Overdue","Open"))),IF(C375="return",IF(OR(L375="",COUNTIF($B$2:$B$1001,L375)=0),"No match",IF(OR(M375="worn",M375="damaged"),"Quarantine","Returned")),IF(C375="issue","Issued",IF(C375="transfer","Moved",IF(C375="write_off","Written off",IF(C375="unfilled","Unfilled",""))))))))</f>
      </c>
      <c r="B375" s="31"/>
      <c r="C375" s="35"/>
      <c r="D375" s="33"/>
      <c r="E375" s="31"/>
      <c r="F375" s="31"/>
      <c r="G375" s="37">
        <f>IF(F375="","",IF(ISNA(MATCH(F375,'Item master'!$A$2:$A$301,0)),"Not in Item master",IFERROR(INDEX('Item master'!$B$2:$B$301,MATCH(F375,'Item master'!$A$2:$A$301,0))&amp;"","")))</f>
      </c>
      <c r="H375" s="34"/>
      <c r="I375" s="31"/>
      <c r="J375" s="31"/>
      <c r="K375" s="33"/>
      <c r="L375" s="31"/>
      <c r="M375" s="35"/>
      <c r="N375" s="30"/>
      <c r="O375" s="30"/>
      <c r="P375" s="36"/>
      <c r="Q375" s="38">
        <f>IF(OR(C375&lt;&gt;"loan",E375=""),"",IF(ISNA(MATCH(E375,Units!$A$2:$A$501,0)),"",IF(INDEX(Units!$E$2:$E$501,MATCH(E375,Units!$A$2:$A$501,0))="","",IF(K375="","No due date",IF(INT(K375)&gt;INDEX(Units!$E$2:$E$501,MATCH(E375,Units!$A$2:$A$501,0)),"Past cal date","OK")))))</f>
      </c>
      <c r="R375" s="37">
        <f>IF(A375="Overdue",K375+ROW()/10000000,"")</f>
      </c>
    </row>
    <row r="376">
      <c r="A376" s="38">
        <f>IF(C376="","",IF(B376="","Needs ID",IF(OR(C376="loan",C376="send_out"),IF(COUNTIF($L$2:$L$1001,B376)&gt;0,"Closed",IF(K376="","Open",IF(K376&lt;NOW(),"Overdue","Open"))),IF(C376="return",IF(OR(L376="",COUNTIF($B$2:$B$1001,L376)=0),"No match",IF(OR(M376="worn",M376="damaged"),"Quarantine","Returned")),IF(C376="issue","Issued",IF(C376="transfer","Moved",IF(C376="write_off","Written off",IF(C376="unfilled","Unfilled",""))))))))</f>
      </c>
      <c r="B376" s="31"/>
      <c r="C376" s="35"/>
      <c r="D376" s="33"/>
      <c r="E376" s="31"/>
      <c r="F376" s="31"/>
      <c r="G376" s="37">
        <f>IF(F376="","",IF(ISNA(MATCH(F376,'Item master'!$A$2:$A$301,0)),"Not in Item master",IFERROR(INDEX('Item master'!$B$2:$B$301,MATCH(F376,'Item master'!$A$2:$A$301,0))&amp;"","")))</f>
      </c>
      <c r="H376" s="34"/>
      <c r="I376" s="31"/>
      <c r="J376" s="31"/>
      <c r="K376" s="33"/>
      <c r="L376" s="31"/>
      <c r="M376" s="35"/>
      <c r="N376" s="30"/>
      <c r="O376" s="30"/>
      <c r="P376" s="36"/>
      <c r="Q376" s="38">
        <f>IF(OR(C376&lt;&gt;"loan",E376=""),"",IF(ISNA(MATCH(E376,Units!$A$2:$A$501,0)),"",IF(INDEX(Units!$E$2:$E$501,MATCH(E376,Units!$A$2:$A$501,0))="","",IF(K376="","No due date",IF(INT(K376)&gt;INDEX(Units!$E$2:$E$501,MATCH(E376,Units!$A$2:$A$501,0)),"Past cal date","OK")))))</f>
      </c>
      <c r="R376" s="37">
        <f>IF(A376="Overdue",K376+ROW()/10000000,"")</f>
      </c>
    </row>
    <row r="377">
      <c r="A377" s="38">
        <f>IF(C377="","",IF(B377="","Needs ID",IF(OR(C377="loan",C377="send_out"),IF(COUNTIF($L$2:$L$1001,B377)&gt;0,"Closed",IF(K377="","Open",IF(K377&lt;NOW(),"Overdue","Open"))),IF(C377="return",IF(OR(L377="",COUNTIF($B$2:$B$1001,L377)=0),"No match",IF(OR(M377="worn",M377="damaged"),"Quarantine","Returned")),IF(C377="issue","Issued",IF(C377="transfer","Moved",IF(C377="write_off","Written off",IF(C377="unfilled","Unfilled",""))))))))</f>
      </c>
      <c r="B377" s="31"/>
      <c r="C377" s="35"/>
      <c r="D377" s="33"/>
      <c r="E377" s="31"/>
      <c r="F377" s="31"/>
      <c r="G377" s="37">
        <f>IF(F377="","",IF(ISNA(MATCH(F377,'Item master'!$A$2:$A$301,0)),"Not in Item master",IFERROR(INDEX('Item master'!$B$2:$B$301,MATCH(F377,'Item master'!$A$2:$A$301,0))&amp;"","")))</f>
      </c>
      <c r="H377" s="34"/>
      <c r="I377" s="31"/>
      <c r="J377" s="31"/>
      <c r="K377" s="33"/>
      <c r="L377" s="31"/>
      <c r="M377" s="35"/>
      <c r="N377" s="30"/>
      <c r="O377" s="30"/>
      <c r="P377" s="36"/>
      <c r="Q377" s="38">
        <f>IF(OR(C377&lt;&gt;"loan",E377=""),"",IF(ISNA(MATCH(E377,Units!$A$2:$A$501,0)),"",IF(INDEX(Units!$E$2:$E$501,MATCH(E377,Units!$A$2:$A$501,0))="","",IF(K377="","No due date",IF(INT(K377)&gt;INDEX(Units!$E$2:$E$501,MATCH(E377,Units!$A$2:$A$501,0)),"Past cal date","OK")))))</f>
      </c>
      <c r="R377" s="37">
        <f>IF(A377="Overdue",K377+ROW()/10000000,"")</f>
      </c>
    </row>
    <row r="378">
      <c r="A378" s="38">
        <f>IF(C378="","",IF(B378="","Needs ID",IF(OR(C378="loan",C378="send_out"),IF(COUNTIF($L$2:$L$1001,B378)&gt;0,"Closed",IF(K378="","Open",IF(K378&lt;NOW(),"Overdue","Open"))),IF(C378="return",IF(OR(L378="",COUNTIF($B$2:$B$1001,L378)=0),"No match",IF(OR(M378="worn",M378="damaged"),"Quarantine","Returned")),IF(C378="issue","Issued",IF(C378="transfer","Moved",IF(C378="write_off","Written off",IF(C378="unfilled","Unfilled",""))))))))</f>
      </c>
      <c r="B378" s="31"/>
      <c r="C378" s="35"/>
      <c r="D378" s="33"/>
      <c r="E378" s="31"/>
      <c r="F378" s="31"/>
      <c r="G378" s="37">
        <f>IF(F378="","",IF(ISNA(MATCH(F378,'Item master'!$A$2:$A$301,0)),"Not in Item master",IFERROR(INDEX('Item master'!$B$2:$B$301,MATCH(F378,'Item master'!$A$2:$A$301,0))&amp;"","")))</f>
      </c>
      <c r="H378" s="34"/>
      <c r="I378" s="31"/>
      <c r="J378" s="31"/>
      <c r="K378" s="33"/>
      <c r="L378" s="31"/>
      <c r="M378" s="35"/>
      <c r="N378" s="30"/>
      <c r="O378" s="30"/>
      <c r="P378" s="36"/>
      <c r="Q378" s="38">
        <f>IF(OR(C378&lt;&gt;"loan",E378=""),"",IF(ISNA(MATCH(E378,Units!$A$2:$A$501,0)),"",IF(INDEX(Units!$E$2:$E$501,MATCH(E378,Units!$A$2:$A$501,0))="","",IF(K378="","No due date",IF(INT(K378)&gt;INDEX(Units!$E$2:$E$501,MATCH(E378,Units!$A$2:$A$501,0)),"Past cal date","OK")))))</f>
      </c>
      <c r="R378" s="37">
        <f>IF(A378="Overdue",K378+ROW()/10000000,"")</f>
      </c>
    </row>
    <row r="379">
      <c r="A379" s="38">
        <f>IF(C379="","",IF(B379="","Needs ID",IF(OR(C379="loan",C379="send_out"),IF(COUNTIF($L$2:$L$1001,B379)&gt;0,"Closed",IF(K379="","Open",IF(K379&lt;NOW(),"Overdue","Open"))),IF(C379="return",IF(OR(L379="",COUNTIF($B$2:$B$1001,L379)=0),"No match",IF(OR(M379="worn",M379="damaged"),"Quarantine","Returned")),IF(C379="issue","Issued",IF(C379="transfer","Moved",IF(C379="write_off","Written off",IF(C379="unfilled","Unfilled",""))))))))</f>
      </c>
      <c r="B379" s="31"/>
      <c r="C379" s="35"/>
      <c r="D379" s="33"/>
      <c r="E379" s="31"/>
      <c r="F379" s="31"/>
      <c r="G379" s="37">
        <f>IF(F379="","",IF(ISNA(MATCH(F379,'Item master'!$A$2:$A$301,0)),"Not in Item master",IFERROR(INDEX('Item master'!$B$2:$B$301,MATCH(F379,'Item master'!$A$2:$A$301,0))&amp;"","")))</f>
      </c>
      <c r="H379" s="34"/>
      <c r="I379" s="31"/>
      <c r="J379" s="31"/>
      <c r="K379" s="33"/>
      <c r="L379" s="31"/>
      <c r="M379" s="35"/>
      <c r="N379" s="30"/>
      <c r="O379" s="30"/>
      <c r="P379" s="36"/>
      <c r="Q379" s="38">
        <f>IF(OR(C379&lt;&gt;"loan",E379=""),"",IF(ISNA(MATCH(E379,Units!$A$2:$A$501,0)),"",IF(INDEX(Units!$E$2:$E$501,MATCH(E379,Units!$A$2:$A$501,0))="","",IF(K379="","No due date",IF(INT(K379)&gt;INDEX(Units!$E$2:$E$501,MATCH(E379,Units!$A$2:$A$501,0)),"Past cal date","OK")))))</f>
      </c>
      <c r="R379" s="37">
        <f>IF(A379="Overdue",K379+ROW()/10000000,"")</f>
      </c>
    </row>
    <row r="380">
      <c r="A380" s="38">
        <f>IF(C380="","",IF(B380="","Needs ID",IF(OR(C380="loan",C380="send_out"),IF(COUNTIF($L$2:$L$1001,B380)&gt;0,"Closed",IF(K380="","Open",IF(K380&lt;NOW(),"Overdue","Open"))),IF(C380="return",IF(OR(L380="",COUNTIF($B$2:$B$1001,L380)=0),"No match",IF(OR(M380="worn",M380="damaged"),"Quarantine","Returned")),IF(C380="issue","Issued",IF(C380="transfer","Moved",IF(C380="write_off","Written off",IF(C380="unfilled","Unfilled",""))))))))</f>
      </c>
      <c r="B380" s="31"/>
      <c r="C380" s="35"/>
      <c r="D380" s="33"/>
      <c r="E380" s="31"/>
      <c r="F380" s="31"/>
      <c r="G380" s="37">
        <f>IF(F380="","",IF(ISNA(MATCH(F380,'Item master'!$A$2:$A$301,0)),"Not in Item master",IFERROR(INDEX('Item master'!$B$2:$B$301,MATCH(F380,'Item master'!$A$2:$A$301,0))&amp;"","")))</f>
      </c>
      <c r="H380" s="34"/>
      <c r="I380" s="31"/>
      <c r="J380" s="31"/>
      <c r="K380" s="33"/>
      <c r="L380" s="31"/>
      <c r="M380" s="35"/>
      <c r="N380" s="30"/>
      <c r="O380" s="30"/>
      <c r="P380" s="36"/>
      <c r="Q380" s="38">
        <f>IF(OR(C380&lt;&gt;"loan",E380=""),"",IF(ISNA(MATCH(E380,Units!$A$2:$A$501,0)),"",IF(INDEX(Units!$E$2:$E$501,MATCH(E380,Units!$A$2:$A$501,0))="","",IF(K380="","No due date",IF(INT(K380)&gt;INDEX(Units!$E$2:$E$501,MATCH(E380,Units!$A$2:$A$501,0)),"Past cal date","OK")))))</f>
      </c>
      <c r="R380" s="37">
        <f>IF(A380="Overdue",K380+ROW()/10000000,"")</f>
      </c>
    </row>
    <row r="381">
      <c r="A381" s="38">
        <f>IF(C381="","",IF(B381="","Needs ID",IF(OR(C381="loan",C381="send_out"),IF(COUNTIF($L$2:$L$1001,B381)&gt;0,"Closed",IF(K381="","Open",IF(K381&lt;NOW(),"Overdue","Open"))),IF(C381="return",IF(OR(L381="",COUNTIF($B$2:$B$1001,L381)=0),"No match",IF(OR(M381="worn",M381="damaged"),"Quarantine","Returned")),IF(C381="issue","Issued",IF(C381="transfer","Moved",IF(C381="write_off","Written off",IF(C381="unfilled","Unfilled",""))))))))</f>
      </c>
      <c r="B381" s="31"/>
      <c r="C381" s="35"/>
      <c r="D381" s="33"/>
      <c r="E381" s="31"/>
      <c r="F381" s="31"/>
      <c r="G381" s="37">
        <f>IF(F381="","",IF(ISNA(MATCH(F381,'Item master'!$A$2:$A$301,0)),"Not in Item master",IFERROR(INDEX('Item master'!$B$2:$B$301,MATCH(F381,'Item master'!$A$2:$A$301,0))&amp;"","")))</f>
      </c>
      <c r="H381" s="34"/>
      <c r="I381" s="31"/>
      <c r="J381" s="31"/>
      <c r="K381" s="33"/>
      <c r="L381" s="31"/>
      <c r="M381" s="35"/>
      <c r="N381" s="30"/>
      <c r="O381" s="30"/>
      <c r="P381" s="36"/>
      <c r="Q381" s="38">
        <f>IF(OR(C381&lt;&gt;"loan",E381=""),"",IF(ISNA(MATCH(E381,Units!$A$2:$A$501,0)),"",IF(INDEX(Units!$E$2:$E$501,MATCH(E381,Units!$A$2:$A$501,0))="","",IF(K381="","No due date",IF(INT(K381)&gt;INDEX(Units!$E$2:$E$501,MATCH(E381,Units!$A$2:$A$501,0)),"Past cal date","OK")))))</f>
      </c>
      <c r="R381" s="37">
        <f>IF(A381="Overdue",K381+ROW()/10000000,"")</f>
      </c>
    </row>
    <row r="382">
      <c r="A382" s="38">
        <f>IF(C382="","",IF(B382="","Needs ID",IF(OR(C382="loan",C382="send_out"),IF(COUNTIF($L$2:$L$1001,B382)&gt;0,"Closed",IF(K382="","Open",IF(K382&lt;NOW(),"Overdue","Open"))),IF(C382="return",IF(OR(L382="",COUNTIF($B$2:$B$1001,L382)=0),"No match",IF(OR(M382="worn",M382="damaged"),"Quarantine","Returned")),IF(C382="issue","Issued",IF(C382="transfer","Moved",IF(C382="write_off","Written off",IF(C382="unfilled","Unfilled",""))))))))</f>
      </c>
      <c r="B382" s="31"/>
      <c r="C382" s="35"/>
      <c r="D382" s="33"/>
      <c r="E382" s="31"/>
      <c r="F382" s="31"/>
      <c r="G382" s="37">
        <f>IF(F382="","",IF(ISNA(MATCH(F382,'Item master'!$A$2:$A$301,0)),"Not in Item master",IFERROR(INDEX('Item master'!$B$2:$B$301,MATCH(F382,'Item master'!$A$2:$A$301,0))&amp;"","")))</f>
      </c>
      <c r="H382" s="34"/>
      <c r="I382" s="31"/>
      <c r="J382" s="31"/>
      <c r="K382" s="33"/>
      <c r="L382" s="31"/>
      <c r="M382" s="35"/>
      <c r="N382" s="30"/>
      <c r="O382" s="30"/>
      <c r="P382" s="36"/>
      <c r="Q382" s="38">
        <f>IF(OR(C382&lt;&gt;"loan",E382=""),"",IF(ISNA(MATCH(E382,Units!$A$2:$A$501,0)),"",IF(INDEX(Units!$E$2:$E$501,MATCH(E382,Units!$A$2:$A$501,0))="","",IF(K382="","No due date",IF(INT(K382)&gt;INDEX(Units!$E$2:$E$501,MATCH(E382,Units!$A$2:$A$501,0)),"Past cal date","OK")))))</f>
      </c>
      <c r="R382" s="37">
        <f>IF(A382="Overdue",K382+ROW()/10000000,"")</f>
      </c>
    </row>
    <row r="383">
      <c r="A383" s="38">
        <f>IF(C383="","",IF(B383="","Needs ID",IF(OR(C383="loan",C383="send_out"),IF(COUNTIF($L$2:$L$1001,B383)&gt;0,"Closed",IF(K383="","Open",IF(K383&lt;NOW(),"Overdue","Open"))),IF(C383="return",IF(OR(L383="",COUNTIF($B$2:$B$1001,L383)=0),"No match",IF(OR(M383="worn",M383="damaged"),"Quarantine","Returned")),IF(C383="issue","Issued",IF(C383="transfer","Moved",IF(C383="write_off","Written off",IF(C383="unfilled","Unfilled",""))))))))</f>
      </c>
      <c r="B383" s="31"/>
      <c r="C383" s="35"/>
      <c r="D383" s="33"/>
      <c r="E383" s="31"/>
      <c r="F383" s="31"/>
      <c r="G383" s="37">
        <f>IF(F383="","",IF(ISNA(MATCH(F383,'Item master'!$A$2:$A$301,0)),"Not in Item master",IFERROR(INDEX('Item master'!$B$2:$B$301,MATCH(F383,'Item master'!$A$2:$A$301,0))&amp;"","")))</f>
      </c>
      <c r="H383" s="34"/>
      <c r="I383" s="31"/>
      <c r="J383" s="31"/>
      <c r="K383" s="33"/>
      <c r="L383" s="31"/>
      <c r="M383" s="35"/>
      <c r="N383" s="30"/>
      <c r="O383" s="30"/>
      <c r="P383" s="36"/>
      <c r="Q383" s="38">
        <f>IF(OR(C383&lt;&gt;"loan",E383=""),"",IF(ISNA(MATCH(E383,Units!$A$2:$A$501,0)),"",IF(INDEX(Units!$E$2:$E$501,MATCH(E383,Units!$A$2:$A$501,0))="","",IF(K383="","No due date",IF(INT(K383)&gt;INDEX(Units!$E$2:$E$501,MATCH(E383,Units!$A$2:$A$501,0)),"Past cal date","OK")))))</f>
      </c>
      <c r="R383" s="37">
        <f>IF(A383="Overdue",K383+ROW()/10000000,"")</f>
      </c>
    </row>
    <row r="384">
      <c r="A384" s="38">
        <f>IF(C384="","",IF(B384="","Needs ID",IF(OR(C384="loan",C384="send_out"),IF(COUNTIF($L$2:$L$1001,B384)&gt;0,"Closed",IF(K384="","Open",IF(K384&lt;NOW(),"Overdue","Open"))),IF(C384="return",IF(OR(L384="",COUNTIF($B$2:$B$1001,L384)=0),"No match",IF(OR(M384="worn",M384="damaged"),"Quarantine","Returned")),IF(C384="issue","Issued",IF(C384="transfer","Moved",IF(C384="write_off","Written off",IF(C384="unfilled","Unfilled",""))))))))</f>
      </c>
      <c r="B384" s="31"/>
      <c r="C384" s="35"/>
      <c r="D384" s="33"/>
      <c r="E384" s="31"/>
      <c r="F384" s="31"/>
      <c r="G384" s="37">
        <f>IF(F384="","",IF(ISNA(MATCH(F384,'Item master'!$A$2:$A$301,0)),"Not in Item master",IFERROR(INDEX('Item master'!$B$2:$B$301,MATCH(F384,'Item master'!$A$2:$A$301,0))&amp;"","")))</f>
      </c>
      <c r="H384" s="34"/>
      <c r="I384" s="31"/>
      <c r="J384" s="31"/>
      <c r="K384" s="33"/>
      <c r="L384" s="31"/>
      <c r="M384" s="35"/>
      <c r="N384" s="30"/>
      <c r="O384" s="30"/>
      <c r="P384" s="36"/>
      <c r="Q384" s="38">
        <f>IF(OR(C384&lt;&gt;"loan",E384=""),"",IF(ISNA(MATCH(E384,Units!$A$2:$A$501,0)),"",IF(INDEX(Units!$E$2:$E$501,MATCH(E384,Units!$A$2:$A$501,0))="","",IF(K384="","No due date",IF(INT(K384)&gt;INDEX(Units!$E$2:$E$501,MATCH(E384,Units!$A$2:$A$501,0)),"Past cal date","OK")))))</f>
      </c>
      <c r="R384" s="37">
        <f>IF(A384="Overdue",K384+ROW()/10000000,"")</f>
      </c>
    </row>
    <row r="385">
      <c r="A385" s="38">
        <f>IF(C385="","",IF(B385="","Needs ID",IF(OR(C385="loan",C385="send_out"),IF(COUNTIF($L$2:$L$1001,B385)&gt;0,"Closed",IF(K385="","Open",IF(K385&lt;NOW(),"Overdue","Open"))),IF(C385="return",IF(OR(L385="",COUNTIF($B$2:$B$1001,L385)=0),"No match",IF(OR(M385="worn",M385="damaged"),"Quarantine","Returned")),IF(C385="issue","Issued",IF(C385="transfer","Moved",IF(C385="write_off","Written off",IF(C385="unfilled","Unfilled",""))))))))</f>
      </c>
      <c r="B385" s="31"/>
      <c r="C385" s="35"/>
      <c r="D385" s="33"/>
      <c r="E385" s="31"/>
      <c r="F385" s="31"/>
      <c r="G385" s="37">
        <f>IF(F385="","",IF(ISNA(MATCH(F385,'Item master'!$A$2:$A$301,0)),"Not in Item master",IFERROR(INDEX('Item master'!$B$2:$B$301,MATCH(F385,'Item master'!$A$2:$A$301,0))&amp;"","")))</f>
      </c>
      <c r="H385" s="34"/>
      <c r="I385" s="31"/>
      <c r="J385" s="31"/>
      <c r="K385" s="33"/>
      <c r="L385" s="31"/>
      <c r="M385" s="35"/>
      <c r="N385" s="30"/>
      <c r="O385" s="30"/>
      <c r="P385" s="36"/>
      <c r="Q385" s="38">
        <f>IF(OR(C385&lt;&gt;"loan",E385=""),"",IF(ISNA(MATCH(E385,Units!$A$2:$A$501,0)),"",IF(INDEX(Units!$E$2:$E$501,MATCH(E385,Units!$A$2:$A$501,0))="","",IF(K385="","No due date",IF(INT(K385)&gt;INDEX(Units!$E$2:$E$501,MATCH(E385,Units!$A$2:$A$501,0)),"Past cal date","OK")))))</f>
      </c>
      <c r="R385" s="37">
        <f>IF(A385="Overdue",K385+ROW()/10000000,"")</f>
      </c>
    </row>
    <row r="386">
      <c r="A386" s="38">
        <f>IF(C386="","",IF(B386="","Needs ID",IF(OR(C386="loan",C386="send_out"),IF(COUNTIF($L$2:$L$1001,B386)&gt;0,"Closed",IF(K386="","Open",IF(K386&lt;NOW(),"Overdue","Open"))),IF(C386="return",IF(OR(L386="",COUNTIF($B$2:$B$1001,L386)=0),"No match",IF(OR(M386="worn",M386="damaged"),"Quarantine","Returned")),IF(C386="issue","Issued",IF(C386="transfer","Moved",IF(C386="write_off","Written off",IF(C386="unfilled","Unfilled",""))))))))</f>
      </c>
      <c r="B386" s="31"/>
      <c r="C386" s="35"/>
      <c r="D386" s="33"/>
      <c r="E386" s="31"/>
      <c r="F386" s="31"/>
      <c r="G386" s="37">
        <f>IF(F386="","",IF(ISNA(MATCH(F386,'Item master'!$A$2:$A$301,0)),"Not in Item master",IFERROR(INDEX('Item master'!$B$2:$B$301,MATCH(F386,'Item master'!$A$2:$A$301,0))&amp;"","")))</f>
      </c>
      <c r="H386" s="34"/>
      <c r="I386" s="31"/>
      <c r="J386" s="31"/>
      <c r="K386" s="33"/>
      <c r="L386" s="31"/>
      <c r="M386" s="35"/>
      <c r="N386" s="30"/>
      <c r="O386" s="30"/>
      <c r="P386" s="36"/>
      <c r="Q386" s="38">
        <f>IF(OR(C386&lt;&gt;"loan",E386=""),"",IF(ISNA(MATCH(E386,Units!$A$2:$A$501,0)),"",IF(INDEX(Units!$E$2:$E$501,MATCH(E386,Units!$A$2:$A$501,0))="","",IF(K386="","No due date",IF(INT(K386)&gt;INDEX(Units!$E$2:$E$501,MATCH(E386,Units!$A$2:$A$501,0)),"Past cal date","OK")))))</f>
      </c>
      <c r="R386" s="37">
        <f>IF(A386="Overdue",K386+ROW()/10000000,"")</f>
      </c>
    </row>
    <row r="387">
      <c r="A387" s="38">
        <f>IF(C387="","",IF(B387="","Needs ID",IF(OR(C387="loan",C387="send_out"),IF(COUNTIF($L$2:$L$1001,B387)&gt;0,"Closed",IF(K387="","Open",IF(K387&lt;NOW(),"Overdue","Open"))),IF(C387="return",IF(OR(L387="",COUNTIF($B$2:$B$1001,L387)=0),"No match",IF(OR(M387="worn",M387="damaged"),"Quarantine","Returned")),IF(C387="issue","Issued",IF(C387="transfer","Moved",IF(C387="write_off","Written off",IF(C387="unfilled","Unfilled",""))))))))</f>
      </c>
      <c r="B387" s="31"/>
      <c r="C387" s="35"/>
      <c r="D387" s="33"/>
      <c r="E387" s="31"/>
      <c r="F387" s="31"/>
      <c r="G387" s="37">
        <f>IF(F387="","",IF(ISNA(MATCH(F387,'Item master'!$A$2:$A$301,0)),"Not in Item master",IFERROR(INDEX('Item master'!$B$2:$B$301,MATCH(F387,'Item master'!$A$2:$A$301,0))&amp;"","")))</f>
      </c>
      <c r="H387" s="34"/>
      <c r="I387" s="31"/>
      <c r="J387" s="31"/>
      <c r="K387" s="33"/>
      <c r="L387" s="31"/>
      <c r="M387" s="35"/>
      <c r="N387" s="30"/>
      <c r="O387" s="30"/>
      <c r="P387" s="36"/>
      <c r="Q387" s="38">
        <f>IF(OR(C387&lt;&gt;"loan",E387=""),"",IF(ISNA(MATCH(E387,Units!$A$2:$A$501,0)),"",IF(INDEX(Units!$E$2:$E$501,MATCH(E387,Units!$A$2:$A$501,0))="","",IF(K387="","No due date",IF(INT(K387)&gt;INDEX(Units!$E$2:$E$501,MATCH(E387,Units!$A$2:$A$501,0)),"Past cal date","OK")))))</f>
      </c>
      <c r="R387" s="37">
        <f>IF(A387="Overdue",K387+ROW()/10000000,"")</f>
      </c>
    </row>
    <row r="388">
      <c r="A388" s="38">
        <f>IF(C388="","",IF(B388="","Needs ID",IF(OR(C388="loan",C388="send_out"),IF(COUNTIF($L$2:$L$1001,B388)&gt;0,"Closed",IF(K388="","Open",IF(K388&lt;NOW(),"Overdue","Open"))),IF(C388="return",IF(OR(L388="",COUNTIF($B$2:$B$1001,L388)=0),"No match",IF(OR(M388="worn",M388="damaged"),"Quarantine","Returned")),IF(C388="issue","Issued",IF(C388="transfer","Moved",IF(C388="write_off","Written off",IF(C388="unfilled","Unfilled",""))))))))</f>
      </c>
      <c r="B388" s="31"/>
      <c r="C388" s="35"/>
      <c r="D388" s="33"/>
      <c r="E388" s="31"/>
      <c r="F388" s="31"/>
      <c r="G388" s="37">
        <f>IF(F388="","",IF(ISNA(MATCH(F388,'Item master'!$A$2:$A$301,0)),"Not in Item master",IFERROR(INDEX('Item master'!$B$2:$B$301,MATCH(F388,'Item master'!$A$2:$A$301,0))&amp;"","")))</f>
      </c>
      <c r="H388" s="34"/>
      <c r="I388" s="31"/>
      <c r="J388" s="31"/>
      <c r="K388" s="33"/>
      <c r="L388" s="31"/>
      <c r="M388" s="35"/>
      <c r="N388" s="30"/>
      <c r="O388" s="30"/>
      <c r="P388" s="36"/>
      <c r="Q388" s="38">
        <f>IF(OR(C388&lt;&gt;"loan",E388=""),"",IF(ISNA(MATCH(E388,Units!$A$2:$A$501,0)),"",IF(INDEX(Units!$E$2:$E$501,MATCH(E388,Units!$A$2:$A$501,0))="","",IF(K388="","No due date",IF(INT(K388)&gt;INDEX(Units!$E$2:$E$501,MATCH(E388,Units!$A$2:$A$501,0)),"Past cal date","OK")))))</f>
      </c>
      <c r="R388" s="37">
        <f>IF(A388="Overdue",K388+ROW()/10000000,"")</f>
      </c>
    </row>
    <row r="389">
      <c r="A389" s="38">
        <f>IF(C389="","",IF(B389="","Needs ID",IF(OR(C389="loan",C389="send_out"),IF(COUNTIF($L$2:$L$1001,B389)&gt;0,"Closed",IF(K389="","Open",IF(K389&lt;NOW(),"Overdue","Open"))),IF(C389="return",IF(OR(L389="",COUNTIF($B$2:$B$1001,L389)=0),"No match",IF(OR(M389="worn",M389="damaged"),"Quarantine","Returned")),IF(C389="issue","Issued",IF(C389="transfer","Moved",IF(C389="write_off","Written off",IF(C389="unfilled","Unfilled",""))))))))</f>
      </c>
      <c r="B389" s="31"/>
      <c r="C389" s="35"/>
      <c r="D389" s="33"/>
      <c r="E389" s="31"/>
      <c r="F389" s="31"/>
      <c r="G389" s="37">
        <f>IF(F389="","",IF(ISNA(MATCH(F389,'Item master'!$A$2:$A$301,0)),"Not in Item master",IFERROR(INDEX('Item master'!$B$2:$B$301,MATCH(F389,'Item master'!$A$2:$A$301,0))&amp;"","")))</f>
      </c>
      <c r="H389" s="34"/>
      <c r="I389" s="31"/>
      <c r="J389" s="31"/>
      <c r="K389" s="33"/>
      <c r="L389" s="31"/>
      <c r="M389" s="35"/>
      <c r="N389" s="30"/>
      <c r="O389" s="30"/>
      <c r="P389" s="36"/>
      <c r="Q389" s="38">
        <f>IF(OR(C389&lt;&gt;"loan",E389=""),"",IF(ISNA(MATCH(E389,Units!$A$2:$A$501,0)),"",IF(INDEX(Units!$E$2:$E$501,MATCH(E389,Units!$A$2:$A$501,0))="","",IF(K389="","No due date",IF(INT(K389)&gt;INDEX(Units!$E$2:$E$501,MATCH(E389,Units!$A$2:$A$501,0)),"Past cal date","OK")))))</f>
      </c>
      <c r="R389" s="37">
        <f>IF(A389="Overdue",K389+ROW()/10000000,"")</f>
      </c>
    </row>
    <row r="390">
      <c r="A390" s="38">
        <f>IF(C390="","",IF(B390="","Needs ID",IF(OR(C390="loan",C390="send_out"),IF(COUNTIF($L$2:$L$1001,B390)&gt;0,"Closed",IF(K390="","Open",IF(K390&lt;NOW(),"Overdue","Open"))),IF(C390="return",IF(OR(L390="",COUNTIF($B$2:$B$1001,L390)=0),"No match",IF(OR(M390="worn",M390="damaged"),"Quarantine","Returned")),IF(C390="issue","Issued",IF(C390="transfer","Moved",IF(C390="write_off","Written off",IF(C390="unfilled","Unfilled",""))))))))</f>
      </c>
      <c r="B390" s="31"/>
      <c r="C390" s="35"/>
      <c r="D390" s="33"/>
      <c r="E390" s="31"/>
      <c r="F390" s="31"/>
      <c r="G390" s="37">
        <f>IF(F390="","",IF(ISNA(MATCH(F390,'Item master'!$A$2:$A$301,0)),"Not in Item master",IFERROR(INDEX('Item master'!$B$2:$B$301,MATCH(F390,'Item master'!$A$2:$A$301,0))&amp;"","")))</f>
      </c>
      <c r="H390" s="34"/>
      <c r="I390" s="31"/>
      <c r="J390" s="31"/>
      <c r="K390" s="33"/>
      <c r="L390" s="31"/>
      <c r="M390" s="35"/>
      <c r="N390" s="30"/>
      <c r="O390" s="30"/>
      <c r="P390" s="36"/>
      <c r="Q390" s="38">
        <f>IF(OR(C390&lt;&gt;"loan",E390=""),"",IF(ISNA(MATCH(E390,Units!$A$2:$A$501,0)),"",IF(INDEX(Units!$E$2:$E$501,MATCH(E390,Units!$A$2:$A$501,0))="","",IF(K390="","No due date",IF(INT(K390)&gt;INDEX(Units!$E$2:$E$501,MATCH(E390,Units!$A$2:$A$501,0)),"Past cal date","OK")))))</f>
      </c>
      <c r="R390" s="37">
        <f>IF(A390="Overdue",K390+ROW()/10000000,"")</f>
      </c>
    </row>
    <row r="391">
      <c r="A391" s="38">
        <f>IF(C391="","",IF(B391="","Needs ID",IF(OR(C391="loan",C391="send_out"),IF(COUNTIF($L$2:$L$1001,B391)&gt;0,"Closed",IF(K391="","Open",IF(K391&lt;NOW(),"Overdue","Open"))),IF(C391="return",IF(OR(L391="",COUNTIF($B$2:$B$1001,L391)=0),"No match",IF(OR(M391="worn",M391="damaged"),"Quarantine","Returned")),IF(C391="issue","Issued",IF(C391="transfer","Moved",IF(C391="write_off","Written off",IF(C391="unfilled","Unfilled",""))))))))</f>
      </c>
      <c r="B391" s="31"/>
      <c r="C391" s="35"/>
      <c r="D391" s="33"/>
      <c r="E391" s="31"/>
      <c r="F391" s="31"/>
      <c r="G391" s="37">
        <f>IF(F391="","",IF(ISNA(MATCH(F391,'Item master'!$A$2:$A$301,0)),"Not in Item master",IFERROR(INDEX('Item master'!$B$2:$B$301,MATCH(F391,'Item master'!$A$2:$A$301,0))&amp;"","")))</f>
      </c>
      <c r="H391" s="34"/>
      <c r="I391" s="31"/>
      <c r="J391" s="31"/>
      <c r="K391" s="33"/>
      <c r="L391" s="31"/>
      <c r="M391" s="35"/>
      <c r="N391" s="30"/>
      <c r="O391" s="30"/>
      <c r="P391" s="36"/>
      <c r="Q391" s="38">
        <f>IF(OR(C391&lt;&gt;"loan",E391=""),"",IF(ISNA(MATCH(E391,Units!$A$2:$A$501,0)),"",IF(INDEX(Units!$E$2:$E$501,MATCH(E391,Units!$A$2:$A$501,0))="","",IF(K391="","No due date",IF(INT(K391)&gt;INDEX(Units!$E$2:$E$501,MATCH(E391,Units!$A$2:$A$501,0)),"Past cal date","OK")))))</f>
      </c>
      <c r="R391" s="37">
        <f>IF(A391="Overdue",K391+ROW()/10000000,"")</f>
      </c>
    </row>
    <row r="392">
      <c r="A392" s="38">
        <f>IF(C392="","",IF(B392="","Needs ID",IF(OR(C392="loan",C392="send_out"),IF(COUNTIF($L$2:$L$1001,B392)&gt;0,"Closed",IF(K392="","Open",IF(K392&lt;NOW(),"Overdue","Open"))),IF(C392="return",IF(OR(L392="",COUNTIF($B$2:$B$1001,L392)=0),"No match",IF(OR(M392="worn",M392="damaged"),"Quarantine","Returned")),IF(C392="issue","Issued",IF(C392="transfer","Moved",IF(C392="write_off","Written off",IF(C392="unfilled","Unfilled",""))))))))</f>
      </c>
      <c r="B392" s="31"/>
      <c r="C392" s="35"/>
      <c r="D392" s="33"/>
      <c r="E392" s="31"/>
      <c r="F392" s="31"/>
      <c r="G392" s="37">
        <f>IF(F392="","",IF(ISNA(MATCH(F392,'Item master'!$A$2:$A$301,0)),"Not in Item master",IFERROR(INDEX('Item master'!$B$2:$B$301,MATCH(F392,'Item master'!$A$2:$A$301,0))&amp;"","")))</f>
      </c>
      <c r="H392" s="34"/>
      <c r="I392" s="31"/>
      <c r="J392" s="31"/>
      <c r="K392" s="33"/>
      <c r="L392" s="31"/>
      <c r="M392" s="35"/>
      <c r="N392" s="30"/>
      <c r="O392" s="30"/>
      <c r="P392" s="36"/>
      <c r="Q392" s="38">
        <f>IF(OR(C392&lt;&gt;"loan",E392=""),"",IF(ISNA(MATCH(E392,Units!$A$2:$A$501,0)),"",IF(INDEX(Units!$E$2:$E$501,MATCH(E392,Units!$A$2:$A$501,0))="","",IF(K392="","No due date",IF(INT(K392)&gt;INDEX(Units!$E$2:$E$501,MATCH(E392,Units!$A$2:$A$501,0)),"Past cal date","OK")))))</f>
      </c>
      <c r="R392" s="37">
        <f>IF(A392="Overdue",K392+ROW()/10000000,"")</f>
      </c>
    </row>
    <row r="393">
      <c r="A393" s="38">
        <f>IF(C393="","",IF(B393="","Needs ID",IF(OR(C393="loan",C393="send_out"),IF(COUNTIF($L$2:$L$1001,B393)&gt;0,"Closed",IF(K393="","Open",IF(K393&lt;NOW(),"Overdue","Open"))),IF(C393="return",IF(OR(L393="",COUNTIF($B$2:$B$1001,L393)=0),"No match",IF(OR(M393="worn",M393="damaged"),"Quarantine","Returned")),IF(C393="issue","Issued",IF(C393="transfer","Moved",IF(C393="write_off","Written off",IF(C393="unfilled","Unfilled",""))))))))</f>
      </c>
      <c r="B393" s="31"/>
      <c r="C393" s="35"/>
      <c r="D393" s="33"/>
      <c r="E393" s="31"/>
      <c r="F393" s="31"/>
      <c r="G393" s="37">
        <f>IF(F393="","",IF(ISNA(MATCH(F393,'Item master'!$A$2:$A$301,0)),"Not in Item master",IFERROR(INDEX('Item master'!$B$2:$B$301,MATCH(F393,'Item master'!$A$2:$A$301,0))&amp;"","")))</f>
      </c>
      <c r="H393" s="34"/>
      <c r="I393" s="31"/>
      <c r="J393" s="31"/>
      <c r="K393" s="33"/>
      <c r="L393" s="31"/>
      <c r="M393" s="35"/>
      <c r="N393" s="30"/>
      <c r="O393" s="30"/>
      <c r="P393" s="36"/>
      <c r="Q393" s="38">
        <f>IF(OR(C393&lt;&gt;"loan",E393=""),"",IF(ISNA(MATCH(E393,Units!$A$2:$A$501,0)),"",IF(INDEX(Units!$E$2:$E$501,MATCH(E393,Units!$A$2:$A$501,0))="","",IF(K393="","No due date",IF(INT(K393)&gt;INDEX(Units!$E$2:$E$501,MATCH(E393,Units!$A$2:$A$501,0)),"Past cal date","OK")))))</f>
      </c>
      <c r="R393" s="37">
        <f>IF(A393="Overdue",K393+ROW()/10000000,"")</f>
      </c>
    </row>
    <row r="394">
      <c r="A394" s="38">
        <f>IF(C394="","",IF(B394="","Needs ID",IF(OR(C394="loan",C394="send_out"),IF(COUNTIF($L$2:$L$1001,B394)&gt;0,"Closed",IF(K394="","Open",IF(K394&lt;NOW(),"Overdue","Open"))),IF(C394="return",IF(OR(L394="",COUNTIF($B$2:$B$1001,L394)=0),"No match",IF(OR(M394="worn",M394="damaged"),"Quarantine","Returned")),IF(C394="issue","Issued",IF(C394="transfer","Moved",IF(C394="write_off","Written off",IF(C394="unfilled","Unfilled",""))))))))</f>
      </c>
      <c r="B394" s="31"/>
      <c r="C394" s="35"/>
      <c r="D394" s="33"/>
      <c r="E394" s="31"/>
      <c r="F394" s="31"/>
      <c r="G394" s="37">
        <f>IF(F394="","",IF(ISNA(MATCH(F394,'Item master'!$A$2:$A$301,0)),"Not in Item master",IFERROR(INDEX('Item master'!$B$2:$B$301,MATCH(F394,'Item master'!$A$2:$A$301,0))&amp;"","")))</f>
      </c>
      <c r="H394" s="34"/>
      <c r="I394" s="31"/>
      <c r="J394" s="31"/>
      <c r="K394" s="33"/>
      <c r="L394" s="31"/>
      <c r="M394" s="35"/>
      <c r="N394" s="30"/>
      <c r="O394" s="30"/>
      <c r="P394" s="36"/>
      <c r="Q394" s="38">
        <f>IF(OR(C394&lt;&gt;"loan",E394=""),"",IF(ISNA(MATCH(E394,Units!$A$2:$A$501,0)),"",IF(INDEX(Units!$E$2:$E$501,MATCH(E394,Units!$A$2:$A$501,0))="","",IF(K394="","No due date",IF(INT(K394)&gt;INDEX(Units!$E$2:$E$501,MATCH(E394,Units!$A$2:$A$501,0)),"Past cal date","OK")))))</f>
      </c>
      <c r="R394" s="37">
        <f>IF(A394="Overdue",K394+ROW()/10000000,"")</f>
      </c>
    </row>
    <row r="395">
      <c r="A395" s="38">
        <f>IF(C395="","",IF(B395="","Needs ID",IF(OR(C395="loan",C395="send_out"),IF(COUNTIF($L$2:$L$1001,B395)&gt;0,"Closed",IF(K395="","Open",IF(K395&lt;NOW(),"Overdue","Open"))),IF(C395="return",IF(OR(L395="",COUNTIF($B$2:$B$1001,L395)=0),"No match",IF(OR(M395="worn",M395="damaged"),"Quarantine","Returned")),IF(C395="issue","Issued",IF(C395="transfer","Moved",IF(C395="write_off","Written off",IF(C395="unfilled","Unfilled",""))))))))</f>
      </c>
      <c r="B395" s="31"/>
      <c r="C395" s="35"/>
      <c r="D395" s="33"/>
      <c r="E395" s="31"/>
      <c r="F395" s="31"/>
      <c r="G395" s="37">
        <f>IF(F395="","",IF(ISNA(MATCH(F395,'Item master'!$A$2:$A$301,0)),"Not in Item master",IFERROR(INDEX('Item master'!$B$2:$B$301,MATCH(F395,'Item master'!$A$2:$A$301,0))&amp;"","")))</f>
      </c>
      <c r="H395" s="34"/>
      <c r="I395" s="31"/>
      <c r="J395" s="31"/>
      <c r="K395" s="33"/>
      <c r="L395" s="31"/>
      <c r="M395" s="35"/>
      <c r="N395" s="30"/>
      <c r="O395" s="30"/>
      <c r="P395" s="36"/>
      <c r="Q395" s="38">
        <f>IF(OR(C395&lt;&gt;"loan",E395=""),"",IF(ISNA(MATCH(E395,Units!$A$2:$A$501,0)),"",IF(INDEX(Units!$E$2:$E$501,MATCH(E395,Units!$A$2:$A$501,0))="","",IF(K395="","No due date",IF(INT(K395)&gt;INDEX(Units!$E$2:$E$501,MATCH(E395,Units!$A$2:$A$501,0)),"Past cal date","OK")))))</f>
      </c>
      <c r="R395" s="37">
        <f>IF(A395="Overdue",K395+ROW()/10000000,"")</f>
      </c>
    </row>
    <row r="396">
      <c r="A396" s="38">
        <f>IF(C396="","",IF(B396="","Needs ID",IF(OR(C396="loan",C396="send_out"),IF(COUNTIF($L$2:$L$1001,B396)&gt;0,"Closed",IF(K396="","Open",IF(K396&lt;NOW(),"Overdue","Open"))),IF(C396="return",IF(OR(L396="",COUNTIF($B$2:$B$1001,L396)=0),"No match",IF(OR(M396="worn",M396="damaged"),"Quarantine","Returned")),IF(C396="issue","Issued",IF(C396="transfer","Moved",IF(C396="write_off","Written off",IF(C396="unfilled","Unfilled",""))))))))</f>
      </c>
      <c r="B396" s="31"/>
      <c r="C396" s="35"/>
      <c r="D396" s="33"/>
      <c r="E396" s="31"/>
      <c r="F396" s="31"/>
      <c r="G396" s="37">
        <f>IF(F396="","",IF(ISNA(MATCH(F396,'Item master'!$A$2:$A$301,0)),"Not in Item master",IFERROR(INDEX('Item master'!$B$2:$B$301,MATCH(F396,'Item master'!$A$2:$A$301,0))&amp;"","")))</f>
      </c>
      <c r="H396" s="34"/>
      <c r="I396" s="31"/>
      <c r="J396" s="31"/>
      <c r="K396" s="33"/>
      <c r="L396" s="31"/>
      <c r="M396" s="35"/>
      <c r="N396" s="30"/>
      <c r="O396" s="30"/>
      <c r="P396" s="36"/>
      <c r="Q396" s="38">
        <f>IF(OR(C396&lt;&gt;"loan",E396=""),"",IF(ISNA(MATCH(E396,Units!$A$2:$A$501,0)),"",IF(INDEX(Units!$E$2:$E$501,MATCH(E396,Units!$A$2:$A$501,0))="","",IF(K396="","No due date",IF(INT(K396)&gt;INDEX(Units!$E$2:$E$501,MATCH(E396,Units!$A$2:$A$501,0)),"Past cal date","OK")))))</f>
      </c>
      <c r="R396" s="37">
        <f>IF(A396="Overdue",K396+ROW()/10000000,"")</f>
      </c>
    </row>
    <row r="397">
      <c r="A397" s="38">
        <f>IF(C397="","",IF(B397="","Needs ID",IF(OR(C397="loan",C397="send_out"),IF(COUNTIF($L$2:$L$1001,B397)&gt;0,"Closed",IF(K397="","Open",IF(K397&lt;NOW(),"Overdue","Open"))),IF(C397="return",IF(OR(L397="",COUNTIF($B$2:$B$1001,L397)=0),"No match",IF(OR(M397="worn",M397="damaged"),"Quarantine","Returned")),IF(C397="issue","Issued",IF(C397="transfer","Moved",IF(C397="write_off","Written off",IF(C397="unfilled","Unfilled",""))))))))</f>
      </c>
      <c r="B397" s="31"/>
      <c r="C397" s="35"/>
      <c r="D397" s="33"/>
      <c r="E397" s="31"/>
      <c r="F397" s="31"/>
      <c r="G397" s="37">
        <f>IF(F397="","",IF(ISNA(MATCH(F397,'Item master'!$A$2:$A$301,0)),"Not in Item master",IFERROR(INDEX('Item master'!$B$2:$B$301,MATCH(F397,'Item master'!$A$2:$A$301,0))&amp;"","")))</f>
      </c>
      <c r="H397" s="34"/>
      <c r="I397" s="31"/>
      <c r="J397" s="31"/>
      <c r="K397" s="33"/>
      <c r="L397" s="31"/>
      <c r="M397" s="35"/>
      <c r="N397" s="30"/>
      <c r="O397" s="30"/>
      <c r="P397" s="36"/>
      <c r="Q397" s="38">
        <f>IF(OR(C397&lt;&gt;"loan",E397=""),"",IF(ISNA(MATCH(E397,Units!$A$2:$A$501,0)),"",IF(INDEX(Units!$E$2:$E$501,MATCH(E397,Units!$A$2:$A$501,0))="","",IF(K397="","No due date",IF(INT(K397)&gt;INDEX(Units!$E$2:$E$501,MATCH(E397,Units!$A$2:$A$501,0)),"Past cal date","OK")))))</f>
      </c>
      <c r="R397" s="37">
        <f>IF(A397="Overdue",K397+ROW()/10000000,"")</f>
      </c>
    </row>
    <row r="398">
      <c r="A398" s="38">
        <f>IF(C398="","",IF(B398="","Needs ID",IF(OR(C398="loan",C398="send_out"),IF(COUNTIF($L$2:$L$1001,B398)&gt;0,"Closed",IF(K398="","Open",IF(K398&lt;NOW(),"Overdue","Open"))),IF(C398="return",IF(OR(L398="",COUNTIF($B$2:$B$1001,L398)=0),"No match",IF(OR(M398="worn",M398="damaged"),"Quarantine","Returned")),IF(C398="issue","Issued",IF(C398="transfer","Moved",IF(C398="write_off","Written off",IF(C398="unfilled","Unfilled",""))))))))</f>
      </c>
      <c r="B398" s="31"/>
      <c r="C398" s="35"/>
      <c r="D398" s="33"/>
      <c r="E398" s="31"/>
      <c r="F398" s="31"/>
      <c r="G398" s="37">
        <f>IF(F398="","",IF(ISNA(MATCH(F398,'Item master'!$A$2:$A$301,0)),"Not in Item master",IFERROR(INDEX('Item master'!$B$2:$B$301,MATCH(F398,'Item master'!$A$2:$A$301,0))&amp;"","")))</f>
      </c>
      <c r="H398" s="34"/>
      <c r="I398" s="31"/>
      <c r="J398" s="31"/>
      <c r="K398" s="33"/>
      <c r="L398" s="31"/>
      <c r="M398" s="35"/>
      <c r="N398" s="30"/>
      <c r="O398" s="30"/>
      <c r="P398" s="36"/>
      <c r="Q398" s="38">
        <f>IF(OR(C398&lt;&gt;"loan",E398=""),"",IF(ISNA(MATCH(E398,Units!$A$2:$A$501,0)),"",IF(INDEX(Units!$E$2:$E$501,MATCH(E398,Units!$A$2:$A$501,0))="","",IF(K398="","No due date",IF(INT(K398)&gt;INDEX(Units!$E$2:$E$501,MATCH(E398,Units!$A$2:$A$501,0)),"Past cal date","OK")))))</f>
      </c>
      <c r="R398" s="37">
        <f>IF(A398="Overdue",K398+ROW()/10000000,"")</f>
      </c>
    </row>
    <row r="399">
      <c r="A399" s="38">
        <f>IF(C399="","",IF(B399="","Needs ID",IF(OR(C399="loan",C399="send_out"),IF(COUNTIF($L$2:$L$1001,B399)&gt;0,"Closed",IF(K399="","Open",IF(K399&lt;NOW(),"Overdue","Open"))),IF(C399="return",IF(OR(L399="",COUNTIF($B$2:$B$1001,L399)=0),"No match",IF(OR(M399="worn",M399="damaged"),"Quarantine","Returned")),IF(C399="issue","Issued",IF(C399="transfer","Moved",IF(C399="write_off","Written off",IF(C399="unfilled","Unfilled",""))))))))</f>
      </c>
      <c r="B399" s="31"/>
      <c r="C399" s="35"/>
      <c r="D399" s="33"/>
      <c r="E399" s="31"/>
      <c r="F399" s="31"/>
      <c r="G399" s="37">
        <f>IF(F399="","",IF(ISNA(MATCH(F399,'Item master'!$A$2:$A$301,0)),"Not in Item master",IFERROR(INDEX('Item master'!$B$2:$B$301,MATCH(F399,'Item master'!$A$2:$A$301,0))&amp;"","")))</f>
      </c>
      <c r="H399" s="34"/>
      <c r="I399" s="31"/>
      <c r="J399" s="31"/>
      <c r="K399" s="33"/>
      <c r="L399" s="31"/>
      <c r="M399" s="35"/>
      <c r="N399" s="30"/>
      <c r="O399" s="30"/>
      <c r="P399" s="36"/>
      <c r="Q399" s="38">
        <f>IF(OR(C399&lt;&gt;"loan",E399=""),"",IF(ISNA(MATCH(E399,Units!$A$2:$A$501,0)),"",IF(INDEX(Units!$E$2:$E$501,MATCH(E399,Units!$A$2:$A$501,0))="","",IF(K399="","No due date",IF(INT(K399)&gt;INDEX(Units!$E$2:$E$501,MATCH(E399,Units!$A$2:$A$501,0)),"Past cal date","OK")))))</f>
      </c>
      <c r="R399" s="37">
        <f>IF(A399="Overdue",K399+ROW()/10000000,"")</f>
      </c>
    </row>
    <row r="400">
      <c r="A400" s="38">
        <f>IF(C400="","",IF(B400="","Needs ID",IF(OR(C400="loan",C400="send_out"),IF(COUNTIF($L$2:$L$1001,B400)&gt;0,"Closed",IF(K400="","Open",IF(K400&lt;NOW(),"Overdue","Open"))),IF(C400="return",IF(OR(L400="",COUNTIF($B$2:$B$1001,L400)=0),"No match",IF(OR(M400="worn",M400="damaged"),"Quarantine","Returned")),IF(C400="issue","Issued",IF(C400="transfer","Moved",IF(C400="write_off","Written off",IF(C400="unfilled","Unfilled",""))))))))</f>
      </c>
      <c r="B400" s="31"/>
      <c r="C400" s="35"/>
      <c r="D400" s="33"/>
      <c r="E400" s="31"/>
      <c r="F400" s="31"/>
      <c r="G400" s="37">
        <f>IF(F400="","",IF(ISNA(MATCH(F400,'Item master'!$A$2:$A$301,0)),"Not in Item master",IFERROR(INDEX('Item master'!$B$2:$B$301,MATCH(F400,'Item master'!$A$2:$A$301,0))&amp;"","")))</f>
      </c>
      <c r="H400" s="34"/>
      <c r="I400" s="31"/>
      <c r="J400" s="31"/>
      <c r="K400" s="33"/>
      <c r="L400" s="31"/>
      <c r="M400" s="35"/>
      <c r="N400" s="30"/>
      <c r="O400" s="30"/>
      <c r="P400" s="36"/>
      <c r="Q400" s="38">
        <f>IF(OR(C400&lt;&gt;"loan",E400=""),"",IF(ISNA(MATCH(E400,Units!$A$2:$A$501,0)),"",IF(INDEX(Units!$E$2:$E$501,MATCH(E400,Units!$A$2:$A$501,0))="","",IF(K400="","No due date",IF(INT(K400)&gt;INDEX(Units!$E$2:$E$501,MATCH(E400,Units!$A$2:$A$501,0)),"Past cal date","OK")))))</f>
      </c>
      <c r="R400" s="37">
        <f>IF(A400="Overdue",K400+ROW()/10000000,"")</f>
      </c>
    </row>
    <row r="401">
      <c r="A401" s="38">
        <f>IF(C401="","",IF(B401="","Needs ID",IF(OR(C401="loan",C401="send_out"),IF(COUNTIF($L$2:$L$1001,B401)&gt;0,"Closed",IF(K401="","Open",IF(K401&lt;NOW(),"Overdue","Open"))),IF(C401="return",IF(OR(L401="",COUNTIF($B$2:$B$1001,L401)=0),"No match",IF(OR(M401="worn",M401="damaged"),"Quarantine","Returned")),IF(C401="issue","Issued",IF(C401="transfer","Moved",IF(C401="write_off","Written off",IF(C401="unfilled","Unfilled",""))))))))</f>
      </c>
      <c r="B401" s="31"/>
      <c r="C401" s="35"/>
      <c r="D401" s="33"/>
      <c r="E401" s="31"/>
      <c r="F401" s="31"/>
      <c r="G401" s="37">
        <f>IF(F401="","",IF(ISNA(MATCH(F401,'Item master'!$A$2:$A$301,0)),"Not in Item master",IFERROR(INDEX('Item master'!$B$2:$B$301,MATCH(F401,'Item master'!$A$2:$A$301,0))&amp;"","")))</f>
      </c>
      <c r="H401" s="34"/>
      <c r="I401" s="31"/>
      <c r="J401" s="31"/>
      <c r="K401" s="33"/>
      <c r="L401" s="31"/>
      <c r="M401" s="35"/>
      <c r="N401" s="30"/>
      <c r="O401" s="30"/>
      <c r="P401" s="36"/>
      <c r="Q401" s="38">
        <f>IF(OR(C401&lt;&gt;"loan",E401=""),"",IF(ISNA(MATCH(E401,Units!$A$2:$A$501,0)),"",IF(INDEX(Units!$E$2:$E$501,MATCH(E401,Units!$A$2:$A$501,0))="","",IF(K401="","No due date",IF(INT(K401)&gt;INDEX(Units!$E$2:$E$501,MATCH(E401,Units!$A$2:$A$501,0)),"Past cal date","OK")))))</f>
      </c>
      <c r="R401" s="37">
        <f>IF(A401="Overdue",K401+ROW()/10000000,"")</f>
      </c>
    </row>
    <row r="402">
      <c r="A402" s="38">
        <f>IF(C402="","",IF(B402="","Needs ID",IF(OR(C402="loan",C402="send_out"),IF(COUNTIF($L$2:$L$1001,B402)&gt;0,"Closed",IF(K402="","Open",IF(K402&lt;NOW(),"Overdue","Open"))),IF(C402="return",IF(OR(L402="",COUNTIF($B$2:$B$1001,L402)=0),"No match",IF(OR(M402="worn",M402="damaged"),"Quarantine","Returned")),IF(C402="issue","Issued",IF(C402="transfer","Moved",IF(C402="write_off","Written off",IF(C402="unfilled","Unfilled",""))))))))</f>
      </c>
      <c r="B402" s="31"/>
      <c r="C402" s="35"/>
      <c r="D402" s="33"/>
      <c r="E402" s="31"/>
      <c r="F402" s="31"/>
      <c r="G402" s="37">
        <f>IF(F402="","",IF(ISNA(MATCH(F402,'Item master'!$A$2:$A$301,0)),"Not in Item master",IFERROR(INDEX('Item master'!$B$2:$B$301,MATCH(F402,'Item master'!$A$2:$A$301,0))&amp;"","")))</f>
      </c>
      <c r="H402" s="34"/>
      <c r="I402" s="31"/>
      <c r="J402" s="31"/>
      <c r="K402" s="33"/>
      <c r="L402" s="31"/>
      <c r="M402" s="35"/>
      <c r="N402" s="30"/>
      <c r="O402" s="30"/>
      <c r="P402" s="36"/>
      <c r="Q402" s="38">
        <f>IF(OR(C402&lt;&gt;"loan",E402=""),"",IF(ISNA(MATCH(E402,Units!$A$2:$A$501,0)),"",IF(INDEX(Units!$E$2:$E$501,MATCH(E402,Units!$A$2:$A$501,0))="","",IF(K402="","No due date",IF(INT(K402)&gt;INDEX(Units!$E$2:$E$501,MATCH(E402,Units!$A$2:$A$501,0)),"Past cal date","OK")))))</f>
      </c>
      <c r="R402" s="37">
        <f>IF(A402="Overdue",K402+ROW()/10000000,"")</f>
      </c>
    </row>
    <row r="403">
      <c r="A403" s="38">
        <f>IF(C403="","",IF(B403="","Needs ID",IF(OR(C403="loan",C403="send_out"),IF(COUNTIF($L$2:$L$1001,B403)&gt;0,"Closed",IF(K403="","Open",IF(K403&lt;NOW(),"Overdue","Open"))),IF(C403="return",IF(OR(L403="",COUNTIF($B$2:$B$1001,L403)=0),"No match",IF(OR(M403="worn",M403="damaged"),"Quarantine","Returned")),IF(C403="issue","Issued",IF(C403="transfer","Moved",IF(C403="write_off","Written off",IF(C403="unfilled","Unfilled",""))))))))</f>
      </c>
      <c r="B403" s="31"/>
      <c r="C403" s="35"/>
      <c r="D403" s="33"/>
      <c r="E403" s="31"/>
      <c r="F403" s="31"/>
      <c r="G403" s="37">
        <f>IF(F403="","",IF(ISNA(MATCH(F403,'Item master'!$A$2:$A$301,0)),"Not in Item master",IFERROR(INDEX('Item master'!$B$2:$B$301,MATCH(F403,'Item master'!$A$2:$A$301,0))&amp;"","")))</f>
      </c>
      <c r="H403" s="34"/>
      <c r="I403" s="31"/>
      <c r="J403" s="31"/>
      <c r="K403" s="33"/>
      <c r="L403" s="31"/>
      <c r="M403" s="35"/>
      <c r="N403" s="30"/>
      <c r="O403" s="30"/>
      <c r="P403" s="36"/>
      <c r="Q403" s="38">
        <f>IF(OR(C403&lt;&gt;"loan",E403=""),"",IF(ISNA(MATCH(E403,Units!$A$2:$A$501,0)),"",IF(INDEX(Units!$E$2:$E$501,MATCH(E403,Units!$A$2:$A$501,0))="","",IF(K403="","No due date",IF(INT(K403)&gt;INDEX(Units!$E$2:$E$501,MATCH(E403,Units!$A$2:$A$501,0)),"Past cal date","OK")))))</f>
      </c>
      <c r="R403" s="37">
        <f>IF(A403="Overdue",K403+ROW()/10000000,"")</f>
      </c>
    </row>
    <row r="404">
      <c r="A404" s="38">
        <f>IF(C404="","",IF(B404="","Needs ID",IF(OR(C404="loan",C404="send_out"),IF(COUNTIF($L$2:$L$1001,B404)&gt;0,"Closed",IF(K404="","Open",IF(K404&lt;NOW(),"Overdue","Open"))),IF(C404="return",IF(OR(L404="",COUNTIF($B$2:$B$1001,L404)=0),"No match",IF(OR(M404="worn",M404="damaged"),"Quarantine","Returned")),IF(C404="issue","Issued",IF(C404="transfer","Moved",IF(C404="write_off","Written off",IF(C404="unfilled","Unfilled",""))))))))</f>
      </c>
      <c r="B404" s="31"/>
      <c r="C404" s="35"/>
      <c r="D404" s="33"/>
      <c r="E404" s="31"/>
      <c r="F404" s="31"/>
      <c r="G404" s="37">
        <f>IF(F404="","",IF(ISNA(MATCH(F404,'Item master'!$A$2:$A$301,0)),"Not in Item master",IFERROR(INDEX('Item master'!$B$2:$B$301,MATCH(F404,'Item master'!$A$2:$A$301,0))&amp;"","")))</f>
      </c>
      <c r="H404" s="34"/>
      <c r="I404" s="31"/>
      <c r="J404" s="31"/>
      <c r="K404" s="33"/>
      <c r="L404" s="31"/>
      <c r="M404" s="35"/>
      <c r="N404" s="30"/>
      <c r="O404" s="30"/>
      <c r="P404" s="36"/>
      <c r="Q404" s="38">
        <f>IF(OR(C404&lt;&gt;"loan",E404=""),"",IF(ISNA(MATCH(E404,Units!$A$2:$A$501,0)),"",IF(INDEX(Units!$E$2:$E$501,MATCH(E404,Units!$A$2:$A$501,0))="","",IF(K404="","No due date",IF(INT(K404)&gt;INDEX(Units!$E$2:$E$501,MATCH(E404,Units!$A$2:$A$501,0)),"Past cal date","OK")))))</f>
      </c>
      <c r="R404" s="37">
        <f>IF(A404="Overdue",K404+ROW()/10000000,"")</f>
      </c>
    </row>
    <row r="405">
      <c r="A405" s="38">
        <f>IF(C405="","",IF(B405="","Needs ID",IF(OR(C405="loan",C405="send_out"),IF(COUNTIF($L$2:$L$1001,B405)&gt;0,"Closed",IF(K405="","Open",IF(K405&lt;NOW(),"Overdue","Open"))),IF(C405="return",IF(OR(L405="",COUNTIF($B$2:$B$1001,L405)=0),"No match",IF(OR(M405="worn",M405="damaged"),"Quarantine","Returned")),IF(C405="issue","Issued",IF(C405="transfer","Moved",IF(C405="write_off","Written off",IF(C405="unfilled","Unfilled",""))))))))</f>
      </c>
      <c r="B405" s="31"/>
      <c r="C405" s="35"/>
      <c r="D405" s="33"/>
      <c r="E405" s="31"/>
      <c r="F405" s="31"/>
      <c r="G405" s="37">
        <f>IF(F405="","",IF(ISNA(MATCH(F405,'Item master'!$A$2:$A$301,0)),"Not in Item master",IFERROR(INDEX('Item master'!$B$2:$B$301,MATCH(F405,'Item master'!$A$2:$A$301,0))&amp;"","")))</f>
      </c>
      <c r="H405" s="34"/>
      <c r="I405" s="31"/>
      <c r="J405" s="31"/>
      <c r="K405" s="33"/>
      <c r="L405" s="31"/>
      <c r="M405" s="35"/>
      <c r="N405" s="30"/>
      <c r="O405" s="30"/>
      <c r="P405" s="36"/>
      <c r="Q405" s="38">
        <f>IF(OR(C405&lt;&gt;"loan",E405=""),"",IF(ISNA(MATCH(E405,Units!$A$2:$A$501,0)),"",IF(INDEX(Units!$E$2:$E$501,MATCH(E405,Units!$A$2:$A$501,0))="","",IF(K405="","No due date",IF(INT(K405)&gt;INDEX(Units!$E$2:$E$501,MATCH(E405,Units!$A$2:$A$501,0)),"Past cal date","OK")))))</f>
      </c>
      <c r="R405" s="37">
        <f>IF(A405="Overdue",K405+ROW()/10000000,"")</f>
      </c>
    </row>
    <row r="406">
      <c r="A406" s="38">
        <f>IF(C406="","",IF(B406="","Needs ID",IF(OR(C406="loan",C406="send_out"),IF(COUNTIF($L$2:$L$1001,B406)&gt;0,"Closed",IF(K406="","Open",IF(K406&lt;NOW(),"Overdue","Open"))),IF(C406="return",IF(OR(L406="",COUNTIF($B$2:$B$1001,L406)=0),"No match",IF(OR(M406="worn",M406="damaged"),"Quarantine","Returned")),IF(C406="issue","Issued",IF(C406="transfer","Moved",IF(C406="write_off","Written off",IF(C406="unfilled","Unfilled",""))))))))</f>
      </c>
      <c r="B406" s="31"/>
      <c r="C406" s="35"/>
      <c r="D406" s="33"/>
      <c r="E406" s="31"/>
      <c r="F406" s="31"/>
      <c r="G406" s="37">
        <f>IF(F406="","",IF(ISNA(MATCH(F406,'Item master'!$A$2:$A$301,0)),"Not in Item master",IFERROR(INDEX('Item master'!$B$2:$B$301,MATCH(F406,'Item master'!$A$2:$A$301,0))&amp;"","")))</f>
      </c>
      <c r="H406" s="34"/>
      <c r="I406" s="31"/>
      <c r="J406" s="31"/>
      <c r="K406" s="33"/>
      <c r="L406" s="31"/>
      <c r="M406" s="35"/>
      <c r="N406" s="30"/>
      <c r="O406" s="30"/>
      <c r="P406" s="36"/>
      <c r="Q406" s="38">
        <f>IF(OR(C406&lt;&gt;"loan",E406=""),"",IF(ISNA(MATCH(E406,Units!$A$2:$A$501,0)),"",IF(INDEX(Units!$E$2:$E$501,MATCH(E406,Units!$A$2:$A$501,0))="","",IF(K406="","No due date",IF(INT(K406)&gt;INDEX(Units!$E$2:$E$501,MATCH(E406,Units!$A$2:$A$501,0)),"Past cal date","OK")))))</f>
      </c>
      <c r="R406" s="37">
        <f>IF(A406="Overdue",K406+ROW()/10000000,"")</f>
      </c>
    </row>
    <row r="407">
      <c r="A407" s="38">
        <f>IF(C407="","",IF(B407="","Needs ID",IF(OR(C407="loan",C407="send_out"),IF(COUNTIF($L$2:$L$1001,B407)&gt;0,"Closed",IF(K407="","Open",IF(K407&lt;NOW(),"Overdue","Open"))),IF(C407="return",IF(OR(L407="",COUNTIF($B$2:$B$1001,L407)=0),"No match",IF(OR(M407="worn",M407="damaged"),"Quarantine","Returned")),IF(C407="issue","Issued",IF(C407="transfer","Moved",IF(C407="write_off","Written off",IF(C407="unfilled","Unfilled",""))))))))</f>
      </c>
      <c r="B407" s="31"/>
      <c r="C407" s="35"/>
      <c r="D407" s="33"/>
      <c r="E407" s="31"/>
      <c r="F407" s="31"/>
      <c r="G407" s="37">
        <f>IF(F407="","",IF(ISNA(MATCH(F407,'Item master'!$A$2:$A$301,0)),"Not in Item master",IFERROR(INDEX('Item master'!$B$2:$B$301,MATCH(F407,'Item master'!$A$2:$A$301,0))&amp;"","")))</f>
      </c>
      <c r="H407" s="34"/>
      <c r="I407" s="31"/>
      <c r="J407" s="31"/>
      <c r="K407" s="33"/>
      <c r="L407" s="31"/>
      <c r="M407" s="35"/>
      <c r="N407" s="30"/>
      <c r="O407" s="30"/>
      <c r="P407" s="36"/>
      <c r="Q407" s="38">
        <f>IF(OR(C407&lt;&gt;"loan",E407=""),"",IF(ISNA(MATCH(E407,Units!$A$2:$A$501,0)),"",IF(INDEX(Units!$E$2:$E$501,MATCH(E407,Units!$A$2:$A$501,0))="","",IF(K407="","No due date",IF(INT(K407)&gt;INDEX(Units!$E$2:$E$501,MATCH(E407,Units!$A$2:$A$501,0)),"Past cal date","OK")))))</f>
      </c>
      <c r="R407" s="37">
        <f>IF(A407="Overdue",K407+ROW()/10000000,"")</f>
      </c>
    </row>
    <row r="408">
      <c r="A408" s="38">
        <f>IF(C408="","",IF(B408="","Needs ID",IF(OR(C408="loan",C408="send_out"),IF(COUNTIF($L$2:$L$1001,B408)&gt;0,"Closed",IF(K408="","Open",IF(K408&lt;NOW(),"Overdue","Open"))),IF(C408="return",IF(OR(L408="",COUNTIF($B$2:$B$1001,L408)=0),"No match",IF(OR(M408="worn",M408="damaged"),"Quarantine","Returned")),IF(C408="issue","Issued",IF(C408="transfer","Moved",IF(C408="write_off","Written off",IF(C408="unfilled","Unfilled",""))))))))</f>
      </c>
      <c r="B408" s="31"/>
      <c r="C408" s="35"/>
      <c r="D408" s="33"/>
      <c r="E408" s="31"/>
      <c r="F408" s="31"/>
      <c r="G408" s="37">
        <f>IF(F408="","",IF(ISNA(MATCH(F408,'Item master'!$A$2:$A$301,0)),"Not in Item master",IFERROR(INDEX('Item master'!$B$2:$B$301,MATCH(F408,'Item master'!$A$2:$A$301,0))&amp;"","")))</f>
      </c>
      <c r="H408" s="34"/>
      <c r="I408" s="31"/>
      <c r="J408" s="31"/>
      <c r="K408" s="33"/>
      <c r="L408" s="31"/>
      <c r="M408" s="35"/>
      <c r="N408" s="30"/>
      <c r="O408" s="30"/>
      <c r="P408" s="36"/>
      <c r="Q408" s="38">
        <f>IF(OR(C408&lt;&gt;"loan",E408=""),"",IF(ISNA(MATCH(E408,Units!$A$2:$A$501,0)),"",IF(INDEX(Units!$E$2:$E$501,MATCH(E408,Units!$A$2:$A$501,0))="","",IF(K408="","No due date",IF(INT(K408)&gt;INDEX(Units!$E$2:$E$501,MATCH(E408,Units!$A$2:$A$501,0)),"Past cal date","OK")))))</f>
      </c>
      <c r="R408" s="37">
        <f>IF(A408="Overdue",K408+ROW()/10000000,"")</f>
      </c>
    </row>
    <row r="409">
      <c r="A409" s="38">
        <f>IF(C409="","",IF(B409="","Needs ID",IF(OR(C409="loan",C409="send_out"),IF(COUNTIF($L$2:$L$1001,B409)&gt;0,"Closed",IF(K409="","Open",IF(K409&lt;NOW(),"Overdue","Open"))),IF(C409="return",IF(OR(L409="",COUNTIF($B$2:$B$1001,L409)=0),"No match",IF(OR(M409="worn",M409="damaged"),"Quarantine","Returned")),IF(C409="issue","Issued",IF(C409="transfer","Moved",IF(C409="write_off","Written off",IF(C409="unfilled","Unfilled",""))))))))</f>
      </c>
      <c r="B409" s="31"/>
      <c r="C409" s="35"/>
      <c r="D409" s="33"/>
      <c r="E409" s="31"/>
      <c r="F409" s="31"/>
      <c r="G409" s="37">
        <f>IF(F409="","",IF(ISNA(MATCH(F409,'Item master'!$A$2:$A$301,0)),"Not in Item master",IFERROR(INDEX('Item master'!$B$2:$B$301,MATCH(F409,'Item master'!$A$2:$A$301,0))&amp;"","")))</f>
      </c>
      <c r="H409" s="34"/>
      <c r="I409" s="31"/>
      <c r="J409" s="31"/>
      <c r="K409" s="33"/>
      <c r="L409" s="31"/>
      <c r="M409" s="35"/>
      <c r="N409" s="30"/>
      <c r="O409" s="30"/>
      <c r="P409" s="36"/>
      <c r="Q409" s="38">
        <f>IF(OR(C409&lt;&gt;"loan",E409=""),"",IF(ISNA(MATCH(E409,Units!$A$2:$A$501,0)),"",IF(INDEX(Units!$E$2:$E$501,MATCH(E409,Units!$A$2:$A$501,0))="","",IF(K409="","No due date",IF(INT(K409)&gt;INDEX(Units!$E$2:$E$501,MATCH(E409,Units!$A$2:$A$501,0)),"Past cal date","OK")))))</f>
      </c>
      <c r="R409" s="37">
        <f>IF(A409="Overdue",K409+ROW()/10000000,"")</f>
      </c>
    </row>
    <row r="410">
      <c r="A410" s="38">
        <f>IF(C410="","",IF(B410="","Needs ID",IF(OR(C410="loan",C410="send_out"),IF(COUNTIF($L$2:$L$1001,B410)&gt;0,"Closed",IF(K410="","Open",IF(K410&lt;NOW(),"Overdue","Open"))),IF(C410="return",IF(OR(L410="",COUNTIF($B$2:$B$1001,L410)=0),"No match",IF(OR(M410="worn",M410="damaged"),"Quarantine","Returned")),IF(C410="issue","Issued",IF(C410="transfer","Moved",IF(C410="write_off","Written off",IF(C410="unfilled","Unfilled",""))))))))</f>
      </c>
      <c r="B410" s="31"/>
      <c r="C410" s="35"/>
      <c r="D410" s="33"/>
      <c r="E410" s="31"/>
      <c r="F410" s="31"/>
      <c r="G410" s="37">
        <f>IF(F410="","",IF(ISNA(MATCH(F410,'Item master'!$A$2:$A$301,0)),"Not in Item master",IFERROR(INDEX('Item master'!$B$2:$B$301,MATCH(F410,'Item master'!$A$2:$A$301,0))&amp;"","")))</f>
      </c>
      <c r="H410" s="34"/>
      <c r="I410" s="31"/>
      <c r="J410" s="31"/>
      <c r="K410" s="33"/>
      <c r="L410" s="31"/>
      <c r="M410" s="35"/>
      <c r="N410" s="30"/>
      <c r="O410" s="30"/>
      <c r="P410" s="36"/>
      <c r="Q410" s="38">
        <f>IF(OR(C410&lt;&gt;"loan",E410=""),"",IF(ISNA(MATCH(E410,Units!$A$2:$A$501,0)),"",IF(INDEX(Units!$E$2:$E$501,MATCH(E410,Units!$A$2:$A$501,0))="","",IF(K410="","No due date",IF(INT(K410)&gt;INDEX(Units!$E$2:$E$501,MATCH(E410,Units!$A$2:$A$501,0)),"Past cal date","OK")))))</f>
      </c>
      <c r="R410" s="37">
        <f>IF(A410="Overdue",K410+ROW()/10000000,"")</f>
      </c>
    </row>
    <row r="411">
      <c r="A411" s="38">
        <f>IF(C411="","",IF(B411="","Needs ID",IF(OR(C411="loan",C411="send_out"),IF(COUNTIF($L$2:$L$1001,B411)&gt;0,"Closed",IF(K411="","Open",IF(K411&lt;NOW(),"Overdue","Open"))),IF(C411="return",IF(OR(L411="",COUNTIF($B$2:$B$1001,L411)=0),"No match",IF(OR(M411="worn",M411="damaged"),"Quarantine","Returned")),IF(C411="issue","Issued",IF(C411="transfer","Moved",IF(C411="write_off","Written off",IF(C411="unfilled","Unfilled",""))))))))</f>
      </c>
      <c r="B411" s="31"/>
      <c r="C411" s="35"/>
      <c r="D411" s="33"/>
      <c r="E411" s="31"/>
      <c r="F411" s="31"/>
      <c r="G411" s="37">
        <f>IF(F411="","",IF(ISNA(MATCH(F411,'Item master'!$A$2:$A$301,0)),"Not in Item master",IFERROR(INDEX('Item master'!$B$2:$B$301,MATCH(F411,'Item master'!$A$2:$A$301,0))&amp;"","")))</f>
      </c>
      <c r="H411" s="34"/>
      <c r="I411" s="31"/>
      <c r="J411" s="31"/>
      <c r="K411" s="33"/>
      <c r="L411" s="31"/>
      <c r="M411" s="35"/>
      <c r="N411" s="30"/>
      <c r="O411" s="30"/>
      <c r="P411" s="36"/>
      <c r="Q411" s="38">
        <f>IF(OR(C411&lt;&gt;"loan",E411=""),"",IF(ISNA(MATCH(E411,Units!$A$2:$A$501,0)),"",IF(INDEX(Units!$E$2:$E$501,MATCH(E411,Units!$A$2:$A$501,0))="","",IF(K411="","No due date",IF(INT(K411)&gt;INDEX(Units!$E$2:$E$501,MATCH(E411,Units!$A$2:$A$501,0)),"Past cal date","OK")))))</f>
      </c>
      <c r="R411" s="37">
        <f>IF(A411="Overdue",K411+ROW()/10000000,"")</f>
      </c>
    </row>
    <row r="412">
      <c r="A412" s="38">
        <f>IF(C412="","",IF(B412="","Needs ID",IF(OR(C412="loan",C412="send_out"),IF(COUNTIF($L$2:$L$1001,B412)&gt;0,"Closed",IF(K412="","Open",IF(K412&lt;NOW(),"Overdue","Open"))),IF(C412="return",IF(OR(L412="",COUNTIF($B$2:$B$1001,L412)=0),"No match",IF(OR(M412="worn",M412="damaged"),"Quarantine","Returned")),IF(C412="issue","Issued",IF(C412="transfer","Moved",IF(C412="write_off","Written off",IF(C412="unfilled","Unfilled",""))))))))</f>
      </c>
      <c r="B412" s="31"/>
      <c r="C412" s="35"/>
      <c r="D412" s="33"/>
      <c r="E412" s="31"/>
      <c r="F412" s="31"/>
      <c r="G412" s="37">
        <f>IF(F412="","",IF(ISNA(MATCH(F412,'Item master'!$A$2:$A$301,0)),"Not in Item master",IFERROR(INDEX('Item master'!$B$2:$B$301,MATCH(F412,'Item master'!$A$2:$A$301,0))&amp;"","")))</f>
      </c>
      <c r="H412" s="34"/>
      <c r="I412" s="31"/>
      <c r="J412" s="31"/>
      <c r="K412" s="33"/>
      <c r="L412" s="31"/>
      <c r="M412" s="35"/>
      <c r="N412" s="30"/>
      <c r="O412" s="30"/>
      <c r="P412" s="36"/>
      <c r="Q412" s="38">
        <f>IF(OR(C412&lt;&gt;"loan",E412=""),"",IF(ISNA(MATCH(E412,Units!$A$2:$A$501,0)),"",IF(INDEX(Units!$E$2:$E$501,MATCH(E412,Units!$A$2:$A$501,0))="","",IF(K412="","No due date",IF(INT(K412)&gt;INDEX(Units!$E$2:$E$501,MATCH(E412,Units!$A$2:$A$501,0)),"Past cal date","OK")))))</f>
      </c>
      <c r="R412" s="37">
        <f>IF(A412="Overdue",K412+ROW()/10000000,"")</f>
      </c>
    </row>
    <row r="413">
      <c r="A413" s="38">
        <f>IF(C413="","",IF(B413="","Needs ID",IF(OR(C413="loan",C413="send_out"),IF(COUNTIF($L$2:$L$1001,B413)&gt;0,"Closed",IF(K413="","Open",IF(K413&lt;NOW(),"Overdue","Open"))),IF(C413="return",IF(OR(L413="",COUNTIF($B$2:$B$1001,L413)=0),"No match",IF(OR(M413="worn",M413="damaged"),"Quarantine","Returned")),IF(C413="issue","Issued",IF(C413="transfer","Moved",IF(C413="write_off","Written off",IF(C413="unfilled","Unfilled",""))))))))</f>
      </c>
      <c r="B413" s="31"/>
      <c r="C413" s="35"/>
      <c r="D413" s="33"/>
      <c r="E413" s="31"/>
      <c r="F413" s="31"/>
      <c r="G413" s="37">
        <f>IF(F413="","",IF(ISNA(MATCH(F413,'Item master'!$A$2:$A$301,0)),"Not in Item master",IFERROR(INDEX('Item master'!$B$2:$B$301,MATCH(F413,'Item master'!$A$2:$A$301,0))&amp;"","")))</f>
      </c>
      <c r="H413" s="34"/>
      <c r="I413" s="31"/>
      <c r="J413" s="31"/>
      <c r="K413" s="33"/>
      <c r="L413" s="31"/>
      <c r="M413" s="35"/>
      <c r="N413" s="30"/>
      <c r="O413" s="30"/>
      <c r="P413" s="36"/>
      <c r="Q413" s="38">
        <f>IF(OR(C413&lt;&gt;"loan",E413=""),"",IF(ISNA(MATCH(E413,Units!$A$2:$A$501,0)),"",IF(INDEX(Units!$E$2:$E$501,MATCH(E413,Units!$A$2:$A$501,0))="","",IF(K413="","No due date",IF(INT(K413)&gt;INDEX(Units!$E$2:$E$501,MATCH(E413,Units!$A$2:$A$501,0)),"Past cal date","OK")))))</f>
      </c>
      <c r="R413" s="37">
        <f>IF(A413="Overdue",K413+ROW()/10000000,"")</f>
      </c>
    </row>
    <row r="414">
      <c r="A414" s="38">
        <f>IF(C414="","",IF(B414="","Needs ID",IF(OR(C414="loan",C414="send_out"),IF(COUNTIF($L$2:$L$1001,B414)&gt;0,"Closed",IF(K414="","Open",IF(K414&lt;NOW(),"Overdue","Open"))),IF(C414="return",IF(OR(L414="",COUNTIF($B$2:$B$1001,L414)=0),"No match",IF(OR(M414="worn",M414="damaged"),"Quarantine","Returned")),IF(C414="issue","Issued",IF(C414="transfer","Moved",IF(C414="write_off","Written off",IF(C414="unfilled","Unfilled",""))))))))</f>
      </c>
      <c r="B414" s="31"/>
      <c r="C414" s="35"/>
      <c r="D414" s="33"/>
      <c r="E414" s="31"/>
      <c r="F414" s="31"/>
      <c r="G414" s="37">
        <f>IF(F414="","",IF(ISNA(MATCH(F414,'Item master'!$A$2:$A$301,0)),"Not in Item master",IFERROR(INDEX('Item master'!$B$2:$B$301,MATCH(F414,'Item master'!$A$2:$A$301,0))&amp;"","")))</f>
      </c>
      <c r="H414" s="34"/>
      <c r="I414" s="31"/>
      <c r="J414" s="31"/>
      <c r="K414" s="33"/>
      <c r="L414" s="31"/>
      <c r="M414" s="35"/>
      <c r="N414" s="30"/>
      <c r="O414" s="30"/>
      <c r="P414" s="36"/>
      <c r="Q414" s="38">
        <f>IF(OR(C414&lt;&gt;"loan",E414=""),"",IF(ISNA(MATCH(E414,Units!$A$2:$A$501,0)),"",IF(INDEX(Units!$E$2:$E$501,MATCH(E414,Units!$A$2:$A$501,0))="","",IF(K414="","No due date",IF(INT(K414)&gt;INDEX(Units!$E$2:$E$501,MATCH(E414,Units!$A$2:$A$501,0)),"Past cal date","OK")))))</f>
      </c>
      <c r="R414" s="37">
        <f>IF(A414="Overdue",K414+ROW()/10000000,"")</f>
      </c>
    </row>
    <row r="415">
      <c r="A415" s="38">
        <f>IF(C415="","",IF(B415="","Needs ID",IF(OR(C415="loan",C415="send_out"),IF(COUNTIF($L$2:$L$1001,B415)&gt;0,"Closed",IF(K415="","Open",IF(K415&lt;NOW(),"Overdue","Open"))),IF(C415="return",IF(OR(L415="",COUNTIF($B$2:$B$1001,L415)=0),"No match",IF(OR(M415="worn",M415="damaged"),"Quarantine","Returned")),IF(C415="issue","Issued",IF(C415="transfer","Moved",IF(C415="write_off","Written off",IF(C415="unfilled","Unfilled",""))))))))</f>
      </c>
      <c r="B415" s="31"/>
      <c r="C415" s="35"/>
      <c r="D415" s="33"/>
      <c r="E415" s="31"/>
      <c r="F415" s="31"/>
      <c r="G415" s="37">
        <f>IF(F415="","",IF(ISNA(MATCH(F415,'Item master'!$A$2:$A$301,0)),"Not in Item master",IFERROR(INDEX('Item master'!$B$2:$B$301,MATCH(F415,'Item master'!$A$2:$A$301,0))&amp;"","")))</f>
      </c>
      <c r="H415" s="34"/>
      <c r="I415" s="31"/>
      <c r="J415" s="31"/>
      <c r="K415" s="33"/>
      <c r="L415" s="31"/>
      <c r="M415" s="35"/>
      <c r="N415" s="30"/>
      <c r="O415" s="30"/>
      <c r="P415" s="36"/>
      <c r="Q415" s="38">
        <f>IF(OR(C415&lt;&gt;"loan",E415=""),"",IF(ISNA(MATCH(E415,Units!$A$2:$A$501,0)),"",IF(INDEX(Units!$E$2:$E$501,MATCH(E415,Units!$A$2:$A$501,0))="","",IF(K415="","No due date",IF(INT(K415)&gt;INDEX(Units!$E$2:$E$501,MATCH(E415,Units!$A$2:$A$501,0)),"Past cal date","OK")))))</f>
      </c>
      <c r="R415" s="37">
        <f>IF(A415="Overdue",K415+ROW()/10000000,"")</f>
      </c>
    </row>
    <row r="416">
      <c r="A416" s="38">
        <f>IF(C416="","",IF(B416="","Needs ID",IF(OR(C416="loan",C416="send_out"),IF(COUNTIF($L$2:$L$1001,B416)&gt;0,"Closed",IF(K416="","Open",IF(K416&lt;NOW(),"Overdue","Open"))),IF(C416="return",IF(OR(L416="",COUNTIF($B$2:$B$1001,L416)=0),"No match",IF(OR(M416="worn",M416="damaged"),"Quarantine","Returned")),IF(C416="issue","Issued",IF(C416="transfer","Moved",IF(C416="write_off","Written off",IF(C416="unfilled","Unfilled",""))))))))</f>
      </c>
      <c r="B416" s="31"/>
      <c r="C416" s="35"/>
      <c r="D416" s="33"/>
      <c r="E416" s="31"/>
      <c r="F416" s="31"/>
      <c r="G416" s="37">
        <f>IF(F416="","",IF(ISNA(MATCH(F416,'Item master'!$A$2:$A$301,0)),"Not in Item master",IFERROR(INDEX('Item master'!$B$2:$B$301,MATCH(F416,'Item master'!$A$2:$A$301,0))&amp;"","")))</f>
      </c>
      <c r="H416" s="34"/>
      <c r="I416" s="31"/>
      <c r="J416" s="31"/>
      <c r="K416" s="33"/>
      <c r="L416" s="31"/>
      <c r="M416" s="35"/>
      <c r="N416" s="30"/>
      <c r="O416" s="30"/>
      <c r="P416" s="36"/>
      <c r="Q416" s="38">
        <f>IF(OR(C416&lt;&gt;"loan",E416=""),"",IF(ISNA(MATCH(E416,Units!$A$2:$A$501,0)),"",IF(INDEX(Units!$E$2:$E$501,MATCH(E416,Units!$A$2:$A$501,0))="","",IF(K416="","No due date",IF(INT(K416)&gt;INDEX(Units!$E$2:$E$501,MATCH(E416,Units!$A$2:$A$501,0)),"Past cal date","OK")))))</f>
      </c>
      <c r="R416" s="37">
        <f>IF(A416="Overdue",K416+ROW()/10000000,"")</f>
      </c>
    </row>
    <row r="417">
      <c r="A417" s="38">
        <f>IF(C417="","",IF(B417="","Needs ID",IF(OR(C417="loan",C417="send_out"),IF(COUNTIF($L$2:$L$1001,B417)&gt;0,"Closed",IF(K417="","Open",IF(K417&lt;NOW(),"Overdue","Open"))),IF(C417="return",IF(OR(L417="",COUNTIF($B$2:$B$1001,L417)=0),"No match",IF(OR(M417="worn",M417="damaged"),"Quarantine","Returned")),IF(C417="issue","Issued",IF(C417="transfer","Moved",IF(C417="write_off","Written off",IF(C417="unfilled","Unfilled",""))))))))</f>
      </c>
      <c r="B417" s="31"/>
      <c r="C417" s="35"/>
      <c r="D417" s="33"/>
      <c r="E417" s="31"/>
      <c r="F417" s="31"/>
      <c r="G417" s="37">
        <f>IF(F417="","",IF(ISNA(MATCH(F417,'Item master'!$A$2:$A$301,0)),"Not in Item master",IFERROR(INDEX('Item master'!$B$2:$B$301,MATCH(F417,'Item master'!$A$2:$A$301,0))&amp;"","")))</f>
      </c>
      <c r="H417" s="34"/>
      <c r="I417" s="31"/>
      <c r="J417" s="31"/>
      <c r="K417" s="33"/>
      <c r="L417" s="31"/>
      <c r="M417" s="35"/>
      <c r="N417" s="30"/>
      <c r="O417" s="30"/>
      <c r="P417" s="36"/>
      <c r="Q417" s="38">
        <f>IF(OR(C417&lt;&gt;"loan",E417=""),"",IF(ISNA(MATCH(E417,Units!$A$2:$A$501,0)),"",IF(INDEX(Units!$E$2:$E$501,MATCH(E417,Units!$A$2:$A$501,0))="","",IF(K417="","No due date",IF(INT(K417)&gt;INDEX(Units!$E$2:$E$501,MATCH(E417,Units!$A$2:$A$501,0)),"Past cal date","OK")))))</f>
      </c>
      <c r="R417" s="37">
        <f>IF(A417="Overdue",K417+ROW()/10000000,"")</f>
      </c>
    </row>
    <row r="418">
      <c r="A418" s="38">
        <f>IF(C418="","",IF(B418="","Needs ID",IF(OR(C418="loan",C418="send_out"),IF(COUNTIF($L$2:$L$1001,B418)&gt;0,"Closed",IF(K418="","Open",IF(K418&lt;NOW(),"Overdue","Open"))),IF(C418="return",IF(OR(L418="",COUNTIF($B$2:$B$1001,L418)=0),"No match",IF(OR(M418="worn",M418="damaged"),"Quarantine","Returned")),IF(C418="issue","Issued",IF(C418="transfer","Moved",IF(C418="write_off","Written off",IF(C418="unfilled","Unfilled",""))))))))</f>
      </c>
      <c r="B418" s="31"/>
      <c r="C418" s="35"/>
      <c r="D418" s="33"/>
      <c r="E418" s="31"/>
      <c r="F418" s="31"/>
      <c r="G418" s="37">
        <f>IF(F418="","",IF(ISNA(MATCH(F418,'Item master'!$A$2:$A$301,0)),"Not in Item master",IFERROR(INDEX('Item master'!$B$2:$B$301,MATCH(F418,'Item master'!$A$2:$A$301,0))&amp;"","")))</f>
      </c>
      <c r="H418" s="34"/>
      <c r="I418" s="31"/>
      <c r="J418" s="31"/>
      <c r="K418" s="33"/>
      <c r="L418" s="31"/>
      <c r="M418" s="35"/>
      <c r="N418" s="30"/>
      <c r="O418" s="30"/>
      <c r="P418" s="36"/>
      <c r="Q418" s="38">
        <f>IF(OR(C418&lt;&gt;"loan",E418=""),"",IF(ISNA(MATCH(E418,Units!$A$2:$A$501,0)),"",IF(INDEX(Units!$E$2:$E$501,MATCH(E418,Units!$A$2:$A$501,0))="","",IF(K418="","No due date",IF(INT(K418)&gt;INDEX(Units!$E$2:$E$501,MATCH(E418,Units!$A$2:$A$501,0)),"Past cal date","OK")))))</f>
      </c>
      <c r="R418" s="37">
        <f>IF(A418="Overdue",K418+ROW()/10000000,"")</f>
      </c>
    </row>
    <row r="419">
      <c r="A419" s="38">
        <f>IF(C419="","",IF(B419="","Needs ID",IF(OR(C419="loan",C419="send_out"),IF(COUNTIF($L$2:$L$1001,B419)&gt;0,"Closed",IF(K419="","Open",IF(K419&lt;NOW(),"Overdue","Open"))),IF(C419="return",IF(OR(L419="",COUNTIF($B$2:$B$1001,L419)=0),"No match",IF(OR(M419="worn",M419="damaged"),"Quarantine","Returned")),IF(C419="issue","Issued",IF(C419="transfer","Moved",IF(C419="write_off","Written off",IF(C419="unfilled","Unfilled",""))))))))</f>
      </c>
      <c r="B419" s="31"/>
      <c r="C419" s="35"/>
      <c r="D419" s="33"/>
      <c r="E419" s="31"/>
      <c r="F419" s="31"/>
      <c r="G419" s="37">
        <f>IF(F419="","",IF(ISNA(MATCH(F419,'Item master'!$A$2:$A$301,0)),"Not in Item master",IFERROR(INDEX('Item master'!$B$2:$B$301,MATCH(F419,'Item master'!$A$2:$A$301,0))&amp;"","")))</f>
      </c>
      <c r="H419" s="34"/>
      <c r="I419" s="31"/>
      <c r="J419" s="31"/>
      <c r="K419" s="33"/>
      <c r="L419" s="31"/>
      <c r="M419" s="35"/>
      <c r="N419" s="30"/>
      <c r="O419" s="30"/>
      <c r="P419" s="36"/>
      <c r="Q419" s="38">
        <f>IF(OR(C419&lt;&gt;"loan",E419=""),"",IF(ISNA(MATCH(E419,Units!$A$2:$A$501,0)),"",IF(INDEX(Units!$E$2:$E$501,MATCH(E419,Units!$A$2:$A$501,0))="","",IF(K419="","No due date",IF(INT(K419)&gt;INDEX(Units!$E$2:$E$501,MATCH(E419,Units!$A$2:$A$501,0)),"Past cal date","OK")))))</f>
      </c>
      <c r="R419" s="37">
        <f>IF(A419="Overdue",K419+ROW()/10000000,"")</f>
      </c>
    </row>
    <row r="420">
      <c r="A420" s="38">
        <f>IF(C420="","",IF(B420="","Needs ID",IF(OR(C420="loan",C420="send_out"),IF(COUNTIF($L$2:$L$1001,B420)&gt;0,"Closed",IF(K420="","Open",IF(K420&lt;NOW(),"Overdue","Open"))),IF(C420="return",IF(OR(L420="",COUNTIF($B$2:$B$1001,L420)=0),"No match",IF(OR(M420="worn",M420="damaged"),"Quarantine","Returned")),IF(C420="issue","Issued",IF(C420="transfer","Moved",IF(C420="write_off","Written off",IF(C420="unfilled","Unfilled",""))))))))</f>
      </c>
      <c r="B420" s="31"/>
      <c r="C420" s="35"/>
      <c r="D420" s="33"/>
      <c r="E420" s="31"/>
      <c r="F420" s="31"/>
      <c r="G420" s="37">
        <f>IF(F420="","",IF(ISNA(MATCH(F420,'Item master'!$A$2:$A$301,0)),"Not in Item master",IFERROR(INDEX('Item master'!$B$2:$B$301,MATCH(F420,'Item master'!$A$2:$A$301,0))&amp;"","")))</f>
      </c>
      <c r="H420" s="34"/>
      <c r="I420" s="31"/>
      <c r="J420" s="31"/>
      <c r="K420" s="33"/>
      <c r="L420" s="31"/>
      <c r="M420" s="35"/>
      <c r="N420" s="30"/>
      <c r="O420" s="30"/>
      <c r="P420" s="36"/>
      <c r="Q420" s="38">
        <f>IF(OR(C420&lt;&gt;"loan",E420=""),"",IF(ISNA(MATCH(E420,Units!$A$2:$A$501,0)),"",IF(INDEX(Units!$E$2:$E$501,MATCH(E420,Units!$A$2:$A$501,0))="","",IF(K420="","No due date",IF(INT(K420)&gt;INDEX(Units!$E$2:$E$501,MATCH(E420,Units!$A$2:$A$501,0)),"Past cal date","OK")))))</f>
      </c>
      <c r="R420" s="37">
        <f>IF(A420="Overdue",K420+ROW()/10000000,"")</f>
      </c>
    </row>
    <row r="421">
      <c r="A421" s="38">
        <f>IF(C421="","",IF(B421="","Needs ID",IF(OR(C421="loan",C421="send_out"),IF(COUNTIF($L$2:$L$1001,B421)&gt;0,"Closed",IF(K421="","Open",IF(K421&lt;NOW(),"Overdue","Open"))),IF(C421="return",IF(OR(L421="",COUNTIF($B$2:$B$1001,L421)=0),"No match",IF(OR(M421="worn",M421="damaged"),"Quarantine","Returned")),IF(C421="issue","Issued",IF(C421="transfer","Moved",IF(C421="write_off","Written off",IF(C421="unfilled","Unfilled",""))))))))</f>
      </c>
      <c r="B421" s="31"/>
      <c r="C421" s="35"/>
      <c r="D421" s="33"/>
      <c r="E421" s="31"/>
      <c r="F421" s="31"/>
      <c r="G421" s="37">
        <f>IF(F421="","",IF(ISNA(MATCH(F421,'Item master'!$A$2:$A$301,0)),"Not in Item master",IFERROR(INDEX('Item master'!$B$2:$B$301,MATCH(F421,'Item master'!$A$2:$A$301,0))&amp;"","")))</f>
      </c>
      <c r="H421" s="34"/>
      <c r="I421" s="31"/>
      <c r="J421" s="31"/>
      <c r="K421" s="33"/>
      <c r="L421" s="31"/>
      <c r="M421" s="35"/>
      <c r="N421" s="30"/>
      <c r="O421" s="30"/>
      <c r="P421" s="36"/>
      <c r="Q421" s="38">
        <f>IF(OR(C421&lt;&gt;"loan",E421=""),"",IF(ISNA(MATCH(E421,Units!$A$2:$A$501,0)),"",IF(INDEX(Units!$E$2:$E$501,MATCH(E421,Units!$A$2:$A$501,0))="","",IF(K421="","No due date",IF(INT(K421)&gt;INDEX(Units!$E$2:$E$501,MATCH(E421,Units!$A$2:$A$501,0)),"Past cal date","OK")))))</f>
      </c>
      <c r="R421" s="37">
        <f>IF(A421="Overdue",K421+ROW()/10000000,"")</f>
      </c>
    </row>
    <row r="422">
      <c r="A422" s="38">
        <f>IF(C422="","",IF(B422="","Needs ID",IF(OR(C422="loan",C422="send_out"),IF(COUNTIF($L$2:$L$1001,B422)&gt;0,"Closed",IF(K422="","Open",IF(K422&lt;NOW(),"Overdue","Open"))),IF(C422="return",IF(OR(L422="",COUNTIF($B$2:$B$1001,L422)=0),"No match",IF(OR(M422="worn",M422="damaged"),"Quarantine","Returned")),IF(C422="issue","Issued",IF(C422="transfer","Moved",IF(C422="write_off","Written off",IF(C422="unfilled","Unfilled",""))))))))</f>
      </c>
      <c r="B422" s="31"/>
      <c r="C422" s="35"/>
      <c r="D422" s="33"/>
      <c r="E422" s="31"/>
      <c r="F422" s="31"/>
      <c r="G422" s="37">
        <f>IF(F422="","",IF(ISNA(MATCH(F422,'Item master'!$A$2:$A$301,0)),"Not in Item master",IFERROR(INDEX('Item master'!$B$2:$B$301,MATCH(F422,'Item master'!$A$2:$A$301,0))&amp;"","")))</f>
      </c>
      <c r="H422" s="34"/>
      <c r="I422" s="31"/>
      <c r="J422" s="31"/>
      <c r="K422" s="33"/>
      <c r="L422" s="31"/>
      <c r="M422" s="35"/>
      <c r="N422" s="30"/>
      <c r="O422" s="30"/>
      <c r="P422" s="36"/>
      <c r="Q422" s="38">
        <f>IF(OR(C422&lt;&gt;"loan",E422=""),"",IF(ISNA(MATCH(E422,Units!$A$2:$A$501,0)),"",IF(INDEX(Units!$E$2:$E$501,MATCH(E422,Units!$A$2:$A$501,0))="","",IF(K422="","No due date",IF(INT(K422)&gt;INDEX(Units!$E$2:$E$501,MATCH(E422,Units!$A$2:$A$501,0)),"Past cal date","OK")))))</f>
      </c>
      <c r="R422" s="37">
        <f>IF(A422="Overdue",K422+ROW()/10000000,"")</f>
      </c>
    </row>
    <row r="423">
      <c r="A423" s="38">
        <f>IF(C423="","",IF(B423="","Needs ID",IF(OR(C423="loan",C423="send_out"),IF(COUNTIF($L$2:$L$1001,B423)&gt;0,"Closed",IF(K423="","Open",IF(K423&lt;NOW(),"Overdue","Open"))),IF(C423="return",IF(OR(L423="",COUNTIF($B$2:$B$1001,L423)=0),"No match",IF(OR(M423="worn",M423="damaged"),"Quarantine","Returned")),IF(C423="issue","Issued",IF(C423="transfer","Moved",IF(C423="write_off","Written off",IF(C423="unfilled","Unfilled",""))))))))</f>
      </c>
      <c r="B423" s="31"/>
      <c r="C423" s="35"/>
      <c r="D423" s="33"/>
      <c r="E423" s="31"/>
      <c r="F423" s="31"/>
      <c r="G423" s="37">
        <f>IF(F423="","",IF(ISNA(MATCH(F423,'Item master'!$A$2:$A$301,0)),"Not in Item master",IFERROR(INDEX('Item master'!$B$2:$B$301,MATCH(F423,'Item master'!$A$2:$A$301,0))&amp;"","")))</f>
      </c>
      <c r="H423" s="34"/>
      <c r="I423" s="31"/>
      <c r="J423" s="31"/>
      <c r="K423" s="33"/>
      <c r="L423" s="31"/>
      <c r="M423" s="35"/>
      <c r="N423" s="30"/>
      <c r="O423" s="30"/>
      <c r="P423" s="36"/>
      <c r="Q423" s="38">
        <f>IF(OR(C423&lt;&gt;"loan",E423=""),"",IF(ISNA(MATCH(E423,Units!$A$2:$A$501,0)),"",IF(INDEX(Units!$E$2:$E$501,MATCH(E423,Units!$A$2:$A$501,0))="","",IF(K423="","No due date",IF(INT(K423)&gt;INDEX(Units!$E$2:$E$501,MATCH(E423,Units!$A$2:$A$501,0)),"Past cal date","OK")))))</f>
      </c>
      <c r="R423" s="37">
        <f>IF(A423="Overdue",K423+ROW()/10000000,"")</f>
      </c>
    </row>
    <row r="424">
      <c r="A424" s="38">
        <f>IF(C424="","",IF(B424="","Needs ID",IF(OR(C424="loan",C424="send_out"),IF(COUNTIF($L$2:$L$1001,B424)&gt;0,"Closed",IF(K424="","Open",IF(K424&lt;NOW(),"Overdue","Open"))),IF(C424="return",IF(OR(L424="",COUNTIF($B$2:$B$1001,L424)=0),"No match",IF(OR(M424="worn",M424="damaged"),"Quarantine","Returned")),IF(C424="issue","Issued",IF(C424="transfer","Moved",IF(C424="write_off","Written off",IF(C424="unfilled","Unfilled",""))))))))</f>
      </c>
      <c r="B424" s="31"/>
      <c r="C424" s="35"/>
      <c r="D424" s="33"/>
      <c r="E424" s="31"/>
      <c r="F424" s="31"/>
      <c r="G424" s="37">
        <f>IF(F424="","",IF(ISNA(MATCH(F424,'Item master'!$A$2:$A$301,0)),"Not in Item master",IFERROR(INDEX('Item master'!$B$2:$B$301,MATCH(F424,'Item master'!$A$2:$A$301,0))&amp;"","")))</f>
      </c>
      <c r="H424" s="34"/>
      <c r="I424" s="31"/>
      <c r="J424" s="31"/>
      <c r="K424" s="33"/>
      <c r="L424" s="31"/>
      <c r="M424" s="35"/>
      <c r="N424" s="30"/>
      <c r="O424" s="30"/>
      <c r="P424" s="36"/>
      <c r="Q424" s="38">
        <f>IF(OR(C424&lt;&gt;"loan",E424=""),"",IF(ISNA(MATCH(E424,Units!$A$2:$A$501,0)),"",IF(INDEX(Units!$E$2:$E$501,MATCH(E424,Units!$A$2:$A$501,0))="","",IF(K424="","No due date",IF(INT(K424)&gt;INDEX(Units!$E$2:$E$501,MATCH(E424,Units!$A$2:$A$501,0)),"Past cal date","OK")))))</f>
      </c>
      <c r="R424" s="37">
        <f>IF(A424="Overdue",K424+ROW()/10000000,"")</f>
      </c>
    </row>
    <row r="425">
      <c r="A425" s="38">
        <f>IF(C425="","",IF(B425="","Needs ID",IF(OR(C425="loan",C425="send_out"),IF(COUNTIF($L$2:$L$1001,B425)&gt;0,"Closed",IF(K425="","Open",IF(K425&lt;NOW(),"Overdue","Open"))),IF(C425="return",IF(OR(L425="",COUNTIF($B$2:$B$1001,L425)=0),"No match",IF(OR(M425="worn",M425="damaged"),"Quarantine","Returned")),IF(C425="issue","Issued",IF(C425="transfer","Moved",IF(C425="write_off","Written off",IF(C425="unfilled","Unfilled",""))))))))</f>
      </c>
      <c r="B425" s="31"/>
      <c r="C425" s="35"/>
      <c r="D425" s="33"/>
      <c r="E425" s="31"/>
      <c r="F425" s="31"/>
      <c r="G425" s="37">
        <f>IF(F425="","",IF(ISNA(MATCH(F425,'Item master'!$A$2:$A$301,0)),"Not in Item master",IFERROR(INDEX('Item master'!$B$2:$B$301,MATCH(F425,'Item master'!$A$2:$A$301,0))&amp;"","")))</f>
      </c>
      <c r="H425" s="34"/>
      <c r="I425" s="31"/>
      <c r="J425" s="31"/>
      <c r="K425" s="33"/>
      <c r="L425" s="31"/>
      <c r="M425" s="35"/>
      <c r="N425" s="30"/>
      <c r="O425" s="30"/>
      <c r="P425" s="36"/>
      <c r="Q425" s="38">
        <f>IF(OR(C425&lt;&gt;"loan",E425=""),"",IF(ISNA(MATCH(E425,Units!$A$2:$A$501,0)),"",IF(INDEX(Units!$E$2:$E$501,MATCH(E425,Units!$A$2:$A$501,0))="","",IF(K425="","No due date",IF(INT(K425)&gt;INDEX(Units!$E$2:$E$501,MATCH(E425,Units!$A$2:$A$501,0)),"Past cal date","OK")))))</f>
      </c>
      <c r="R425" s="37">
        <f>IF(A425="Overdue",K425+ROW()/10000000,"")</f>
      </c>
    </row>
    <row r="426">
      <c r="A426" s="38">
        <f>IF(C426="","",IF(B426="","Needs ID",IF(OR(C426="loan",C426="send_out"),IF(COUNTIF($L$2:$L$1001,B426)&gt;0,"Closed",IF(K426="","Open",IF(K426&lt;NOW(),"Overdue","Open"))),IF(C426="return",IF(OR(L426="",COUNTIF($B$2:$B$1001,L426)=0),"No match",IF(OR(M426="worn",M426="damaged"),"Quarantine","Returned")),IF(C426="issue","Issued",IF(C426="transfer","Moved",IF(C426="write_off","Written off",IF(C426="unfilled","Unfilled",""))))))))</f>
      </c>
      <c r="B426" s="31"/>
      <c r="C426" s="35"/>
      <c r="D426" s="33"/>
      <c r="E426" s="31"/>
      <c r="F426" s="31"/>
      <c r="G426" s="37">
        <f>IF(F426="","",IF(ISNA(MATCH(F426,'Item master'!$A$2:$A$301,0)),"Not in Item master",IFERROR(INDEX('Item master'!$B$2:$B$301,MATCH(F426,'Item master'!$A$2:$A$301,0))&amp;"","")))</f>
      </c>
      <c r="H426" s="34"/>
      <c r="I426" s="31"/>
      <c r="J426" s="31"/>
      <c r="K426" s="33"/>
      <c r="L426" s="31"/>
      <c r="M426" s="35"/>
      <c r="N426" s="30"/>
      <c r="O426" s="30"/>
      <c r="P426" s="36"/>
      <c r="Q426" s="38">
        <f>IF(OR(C426&lt;&gt;"loan",E426=""),"",IF(ISNA(MATCH(E426,Units!$A$2:$A$501,0)),"",IF(INDEX(Units!$E$2:$E$501,MATCH(E426,Units!$A$2:$A$501,0))="","",IF(K426="","No due date",IF(INT(K426)&gt;INDEX(Units!$E$2:$E$501,MATCH(E426,Units!$A$2:$A$501,0)),"Past cal date","OK")))))</f>
      </c>
      <c r="R426" s="37">
        <f>IF(A426="Overdue",K426+ROW()/10000000,"")</f>
      </c>
    </row>
    <row r="427">
      <c r="A427" s="38">
        <f>IF(C427="","",IF(B427="","Needs ID",IF(OR(C427="loan",C427="send_out"),IF(COUNTIF($L$2:$L$1001,B427)&gt;0,"Closed",IF(K427="","Open",IF(K427&lt;NOW(),"Overdue","Open"))),IF(C427="return",IF(OR(L427="",COUNTIF($B$2:$B$1001,L427)=0),"No match",IF(OR(M427="worn",M427="damaged"),"Quarantine","Returned")),IF(C427="issue","Issued",IF(C427="transfer","Moved",IF(C427="write_off","Written off",IF(C427="unfilled","Unfilled",""))))))))</f>
      </c>
      <c r="B427" s="31"/>
      <c r="C427" s="35"/>
      <c r="D427" s="33"/>
      <c r="E427" s="31"/>
      <c r="F427" s="31"/>
      <c r="G427" s="37">
        <f>IF(F427="","",IF(ISNA(MATCH(F427,'Item master'!$A$2:$A$301,0)),"Not in Item master",IFERROR(INDEX('Item master'!$B$2:$B$301,MATCH(F427,'Item master'!$A$2:$A$301,0))&amp;"","")))</f>
      </c>
      <c r="H427" s="34"/>
      <c r="I427" s="31"/>
      <c r="J427" s="31"/>
      <c r="K427" s="33"/>
      <c r="L427" s="31"/>
      <c r="M427" s="35"/>
      <c r="N427" s="30"/>
      <c r="O427" s="30"/>
      <c r="P427" s="36"/>
      <c r="Q427" s="38">
        <f>IF(OR(C427&lt;&gt;"loan",E427=""),"",IF(ISNA(MATCH(E427,Units!$A$2:$A$501,0)),"",IF(INDEX(Units!$E$2:$E$501,MATCH(E427,Units!$A$2:$A$501,0))="","",IF(K427="","No due date",IF(INT(K427)&gt;INDEX(Units!$E$2:$E$501,MATCH(E427,Units!$A$2:$A$501,0)),"Past cal date","OK")))))</f>
      </c>
      <c r="R427" s="37">
        <f>IF(A427="Overdue",K427+ROW()/10000000,"")</f>
      </c>
    </row>
    <row r="428">
      <c r="A428" s="38">
        <f>IF(C428="","",IF(B428="","Needs ID",IF(OR(C428="loan",C428="send_out"),IF(COUNTIF($L$2:$L$1001,B428)&gt;0,"Closed",IF(K428="","Open",IF(K428&lt;NOW(),"Overdue","Open"))),IF(C428="return",IF(OR(L428="",COUNTIF($B$2:$B$1001,L428)=0),"No match",IF(OR(M428="worn",M428="damaged"),"Quarantine","Returned")),IF(C428="issue","Issued",IF(C428="transfer","Moved",IF(C428="write_off","Written off",IF(C428="unfilled","Unfilled",""))))))))</f>
      </c>
      <c r="B428" s="31"/>
      <c r="C428" s="35"/>
      <c r="D428" s="33"/>
      <c r="E428" s="31"/>
      <c r="F428" s="31"/>
      <c r="G428" s="37">
        <f>IF(F428="","",IF(ISNA(MATCH(F428,'Item master'!$A$2:$A$301,0)),"Not in Item master",IFERROR(INDEX('Item master'!$B$2:$B$301,MATCH(F428,'Item master'!$A$2:$A$301,0))&amp;"","")))</f>
      </c>
      <c r="H428" s="34"/>
      <c r="I428" s="31"/>
      <c r="J428" s="31"/>
      <c r="K428" s="33"/>
      <c r="L428" s="31"/>
      <c r="M428" s="35"/>
      <c r="N428" s="30"/>
      <c r="O428" s="30"/>
      <c r="P428" s="36"/>
      <c r="Q428" s="38">
        <f>IF(OR(C428&lt;&gt;"loan",E428=""),"",IF(ISNA(MATCH(E428,Units!$A$2:$A$501,0)),"",IF(INDEX(Units!$E$2:$E$501,MATCH(E428,Units!$A$2:$A$501,0))="","",IF(K428="","No due date",IF(INT(K428)&gt;INDEX(Units!$E$2:$E$501,MATCH(E428,Units!$A$2:$A$501,0)),"Past cal date","OK")))))</f>
      </c>
      <c r="R428" s="37">
        <f>IF(A428="Overdue",K428+ROW()/10000000,"")</f>
      </c>
    </row>
    <row r="429">
      <c r="A429" s="38">
        <f>IF(C429="","",IF(B429="","Needs ID",IF(OR(C429="loan",C429="send_out"),IF(COUNTIF($L$2:$L$1001,B429)&gt;0,"Closed",IF(K429="","Open",IF(K429&lt;NOW(),"Overdue","Open"))),IF(C429="return",IF(OR(L429="",COUNTIF($B$2:$B$1001,L429)=0),"No match",IF(OR(M429="worn",M429="damaged"),"Quarantine","Returned")),IF(C429="issue","Issued",IF(C429="transfer","Moved",IF(C429="write_off","Written off",IF(C429="unfilled","Unfilled",""))))))))</f>
      </c>
      <c r="B429" s="31"/>
      <c r="C429" s="35"/>
      <c r="D429" s="33"/>
      <c r="E429" s="31"/>
      <c r="F429" s="31"/>
      <c r="G429" s="37">
        <f>IF(F429="","",IF(ISNA(MATCH(F429,'Item master'!$A$2:$A$301,0)),"Not in Item master",IFERROR(INDEX('Item master'!$B$2:$B$301,MATCH(F429,'Item master'!$A$2:$A$301,0))&amp;"","")))</f>
      </c>
      <c r="H429" s="34"/>
      <c r="I429" s="31"/>
      <c r="J429" s="31"/>
      <c r="K429" s="33"/>
      <c r="L429" s="31"/>
      <c r="M429" s="35"/>
      <c r="N429" s="30"/>
      <c r="O429" s="30"/>
      <c r="P429" s="36"/>
      <c r="Q429" s="38">
        <f>IF(OR(C429&lt;&gt;"loan",E429=""),"",IF(ISNA(MATCH(E429,Units!$A$2:$A$501,0)),"",IF(INDEX(Units!$E$2:$E$501,MATCH(E429,Units!$A$2:$A$501,0))="","",IF(K429="","No due date",IF(INT(K429)&gt;INDEX(Units!$E$2:$E$501,MATCH(E429,Units!$A$2:$A$501,0)),"Past cal date","OK")))))</f>
      </c>
      <c r="R429" s="37">
        <f>IF(A429="Overdue",K429+ROW()/10000000,"")</f>
      </c>
    </row>
    <row r="430">
      <c r="A430" s="38">
        <f>IF(C430="","",IF(B430="","Needs ID",IF(OR(C430="loan",C430="send_out"),IF(COUNTIF($L$2:$L$1001,B430)&gt;0,"Closed",IF(K430="","Open",IF(K430&lt;NOW(),"Overdue","Open"))),IF(C430="return",IF(OR(L430="",COUNTIF($B$2:$B$1001,L430)=0),"No match",IF(OR(M430="worn",M430="damaged"),"Quarantine","Returned")),IF(C430="issue","Issued",IF(C430="transfer","Moved",IF(C430="write_off","Written off",IF(C430="unfilled","Unfilled",""))))))))</f>
      </c>
      <c r="B430" s="31"/>
      <c r="C430" s="35"/>
      <c r="D430" s="33"/>
      <c r="E430" s="31"/>
      <c r="F430" s="31"/>
      <c r="G430" s="37">
        <f>IF(F430="","",IF(ISNA(MATCH(F430,'Item master'!$A$2:$A$301,0)),"Not in Item master",IFERROR(INDEX('Item master'!$B$2:$B$301,MATCH(F430,'Item master'!$A$2:$A$301,0))&amp;"","")))</f>
      </c>
      <c r="H430" s="34"/>
      <c r="I430" s="31"/>
      <c r="J430" s="31"/>
      <c r="K430" s="33"/>
      <c r="L430" s="31"/>
      <c r="M430" s="35"/>
      <c r="N430" s="30"/>
      <c r="O430" s="30"/>
      <c r="P430" s="36"/>
      <c r="Q430" s="38">
        <f>IF(OR(C430&lt;&gt;"loan",E430=""),"",IF(ISNA(MATCH(E430,Units!$A$2:$A$501,0)),"",IF(INDEX(Units!$E$2:$E$501,MATCH(E430,Units!$A$2:$A$501,0))="","",IF(K430="","No due date",IF(INT(K430)&gt;INDEX(Units!$E$2:$E$501,MATCH(E430,Units!$A$2:$A$501,0)),"Past cal date","OK")))))</f>
      </c>
      <c r="R430" s="37">
        <f>IF(A430="Overdue",K430+ROW()/10000000,"")</f>
      </c>
    </row>
    <row r="431">
      <c r="A431" s="38">
        <f>IF(C431="","",IF(B431="","Needs ID",IF(OR(C431="loan",C431="send_out"),IF(COUNTIF($L$2:$L$1001,B431)&gt;0,"Closed",IF(K431="","Open",IF(K431&lt;NOW(),"Overdue","Open"))),IF(C431="return",IF(OR(L431="",COUNTIF($B$2:$B$1001,L431)=0),"No match",IF(OR(M431="worn",M431="damaged"),"Quarantine","Returned")),IF(C431="issue","Issued",IF(C431="transfer","Moved",IF(C431="write_off","Written off",IF(C431="unfilled","Unfilled",""))))))))</f>
      </c>
      <c r="B431" s="31"/>
      <c r="C431" s="35"/>
      <c r="D431" s="33"/>
      <c r="E431" s="31"/>
      <c r="F431" s="31"/>
      <c r="G431" s="37">
        <f>IF(F431="","",IF(ISNA(MATCH(F431,'Item master'!$A$2:$A$301,0)),"Not in Item master",IFERROR(INDEX('Item master'!$B$2:$B$301,MATCH(F431,'Item master'!$A$2:$A$301,0))&amp;"","")))</f>
      </c>
      <c r="H431" s="34"/>
      <c r="I431" s="31"/>
      <c r="J431" s="31"/>
      <c r="K431" s="33"/>
      <c r="L431" s="31"/>
      <c r="M431" s="35"/>
      <c r="N431" s="30"/>
      <c r="O431" s="30"/>
      <c r="P431" s="36"/>
      <c r="Q431" s="38">
        <f>IF(OR(C431&lt;&gt;"loan",E431=""),"",IF(ISNA(MATCH(E431,Units!$A$2:$A$501,0)),"",IF(INDEX(Units!$E$2:$E$501,MATCH(E431,Units!$A$2:$A$501,0))="","",IF(K431="","No due date",IF(INT(K431)&gt;INDEX(Units!$E$2:$E$501,MATCH(E431,Units!$A$2:$A$501,0)),"Past cal date","OK")))))</f>
      </c>
      <c r="R431" s="37">
        <f>IF(A431="Overdue",K431+ROW()/10000000,"")</f>
      </c>
    </row>
    <row r="432">
      <c r="A432" s="38">
        <f>IF(C432="","",IF(B432="","Needs ID",IF(OR(C432="loan",C432="send_out"),IF(COUNTIF($L$2:$L$1001,B432)&gt;0,"Closed",IF(K432="","Open",IF(K432&lt;NOW(),"Overdue","Open"))),IF(C432="return",IF(OR(L432="",COUNTIF($B$2:$B$1001,L432)=0),"No match",IF(OR(M432="worn",M432="damaged"),"Quarantine","Returned")),IF(C432="issue","Issued",IF(C432="transfer","Moved",IF(C432="write_off","Written off",IF(C432="unfilled","Unfilled",""))))))))</f>
      </c>
      <c r="B432" s="31"/>
      <c r="C432" s="35"/>
      <c r="D432" s="33"/>
      <c r="E432" s="31"/>
      <c r="F432" s="31"/>
      <c r="G432" s="37">
        <f>IF(F432="","",IF(ISNA(MATCH(F432,'Item master'!$A$2:$A$301,0)),"Not in Item master",IFERROR(INDEX('Item master'!$B$2:$B$301,MATCH(F432,'Item master'!$A$2:$A$301,0))&amp;"","")))</f>
      </c>
      <c r="H432" s="34"/>
      <c r="I432" s="31"/>
      <c r="J432" s="31"/>
      <c r="K432" s="33"/>
      <c r="L432" s="31"/>
      <c r="M432" s="35"/>
      <c r="N432" s="30"/>
      <c r="O432" s="30"/>
      <c r="P432" s="36"/>
      <c r="Q432" s="38">
        <f>IF(OR(C432&lt;&gt;"loan",E432=""),"",IF(ISNA(MATCH(E432,Units!$A$2:$A$501,0)),"",IF(INDEX(Units!$E$2:$E$501,MATCH(E432,Units!$A$2:$A$501,0))="","",IF(K432="","No due date",IF(INT(K432)&gt;INDEX(Units!$E$2:$E$501,MATCH(E432,Units!$A$2:$A$501,0)),"Past cal date","OK")))))</f>
      </c>
      <c r="R432" s="37">
        <f>IF(A432="Overdue",K432+ROW()/10000000,"")</f>
      </c>
    </row>
    <row r="433">
      <c r="A433" s="38">
        <f>IF(C433="","",IF(B433="","Needs ID",IF(OR(C433="loan",C433="send_out"),IF(COUNTIF($L$2:$L$1001,B433)&gt;0,"Closed",IF(K433="","Open",IF(K433&lt;NOW(),"Overdue","Open"))),IF(C433="return",IF(OR(L433="",COUNTIF($B$2:$B$1001,L433)=0),"No match",IF(OR(M433="worn",M433="damaged"),"Quarantine","Returned")),IF(C433="issue","Issued",IF(C433="transfer","Moved",IF(C433="write_off","Written off",IF(C433="unfilled","Unfilled",""))))))))</f>
      </c>
      <c r="B433" s="31"/>
      <c r="C433" s="35"/>
      <c r="D433" s="33"/>
      <c r="E433" s="31"/>
      <c r="F433" s="31"/>
      <c r="G433" s="37">
        <f>IF(F433="","",IF(ISNA(MATCH(F433,'Item master'!$A$2:$A$301,0)),"Not in Item master",IFERROR(INDEX('Item master'!$B$2:$B$301,MATCH(F433,'Item master'!$A$2:$A$301,0))&amp;"","")))</f>
      </c>
      <c r="H433" s="34"/>
      <c r="I433" s="31"/>
      <c r="J433" s="31"/>
      <c r="K433" s="33"/>
      <c r="L433" s="31"/>
      <c r="M433" s="35"/>
      <c r="N433" s="30"/>
      <c r="O433" s="30"/>
      <c r="P433" s="36"/>
      <c r="Q433" s="38">
        <f>IF(OR(C433&lt;&gt;"loan",E433=""),"",IF(ISNA(MATCH(E433,Units!$A$2:$A$501,0)),"",IF(INDEX(Units!$E$2:$E$501,MATCH(E433,Units!$A$2:$A$501,0))="","",IF(K433="","No due date",IF(INT(K433)&gt;INDEX(Units!$E$2:$E$501,MATCH(E433,Units!$A$2:$A$501,0)),"Past cal date","OK")))))</f>
      </c>
      <c r="R433" s="37">
        <f>IF(A433="Overdue",K433+ROW()/10000000,"")</f>
      </c>
    </row>
    <row r="434">
      <c r="A434" s="38">
        <f>IF(C434="","",IF(B434="","Needs ID",IF(OR(C434="loan",C434="send_out"),IF(COUNTIF($L$2:$L$1001,B434)&gt;0,"Closed",IF(K434="","Open",IF(K434&lt;NOW(),"Overdue","Open"))),IF(C434="return",IF(OR(L434="",COUNTIF($B$2:$B$1001,L434)=0),"No match",IF(OR(M434="worn",M434="damaged"),"Quarantine","Returned")),IF(C434="issue","Issued",IF(C434="transfer","Moved",IF(C434="write_off","Written off",IF(C434="unfilled","Unfilled",""))))))))</f>
      </c>
      <c r="B434" s="31"/>
      <c r="C434" s="35"/>
      <c r="D434" s="33"/>
      <c r="E434" s="31"/>
      <c r="F434" s="31"/>
      <c r="G434" s="37">
        <f>IF(F434="","",IF(ISNA(MATCH(F434,'Item master'!$A$2:$A$301,0)),"Not in Item master",IFERROR(INDEX('Item master'!$B$2:$B$301,MATCH(F434,'Item master'!$A$2:$A$301,0))&amp;"","")))</f>
      </c>
      <c r="H434" s="34"/>
      <c r="I434" s="31"/>
      <c r="J434" s="31"/>
      <c r="K434" s="33"/>
      <c r="L434" s="31"/>
      <c r="M434" s="35"/>
      <c r="N434" s="30"/>
      <c r="O434" s="30"/>
      <c r="P434" s="36"/>
      <c r="Q434" s="38">
        <f>IF(OR(C434&lt;&gt;"loan",E434=""),"",IF(ISNA(MATCH(E434,Units!$A$2:$A$501,0)),"",IF(INDEX(Units!$E$2:$E$501,MATCH(E434,Units!$A$2:$A$501,0))="","",IF(K434="","No due date",IF(INT(K434)&gt;INDEX(Units!$E$2:$E$501,MATCH(E434,Units!$A$2:$A$501,0)),"Past cal date","OK")))))</f>
      </c>
      <c r="R434" s="37">
        <f>IF(A434="Overdue",K434+ROW()/10000000,"")</f>
      </c>
    </row>
    <row r="435">
      <c r="A435" s="38">
        <f>IF(C435="","",IF(B435="","Needs ID",IF(OR(C435="loan",C435="send_out"),IF(COUNTIF($L$2:$L$1001,B435)&gt;0,"Closed",IF(K435="","Open",IF(K435&lt;NOW(),"Overdue","Open"))),IF(C435="return",IF(OR(L435="",COUNTIF($B$2:$B$1001,L435)=0),"No match",IF(OR(M435="worn",M435="damaged"),"Quarantine","Returned")),IF(C435="issue","Issued",IF(C435="transfer","Moved",IF(C435="write_off","Written off",IF(C435="unfilled","Unfilled",""))))))))</f>
      </c>
      <c r="B435" s="31"/>
      <c r="C435" s="35"/>
      <c r="D435" s="33"/>
      <c r="E435" s="31"/>
      <c r="F435" s="31"/>
      <c r="G435" s="37">
        <f>IF(F435="","",IF(ISNA(MATCH(F435,'Item master'!$A$2:$A$301,0)),"Not in Item master",IFERROR(INDEX('Item master'!$B$2:$B$301,MATCH(F435,'Item master'!$A$2:$A$301,0))&amp;"","")))</f>
      </c>
      <c r="H435" s="34"/>
      <c r="I435" s="31"/>
      <c r="J435" s="31"/>
      <c r="K435" s="33"/>
      <c r="L435" s="31"/>
      <c r="M435" s="35"/>
      <c r="N435" s="30"/>
      <c r="O435" s="30"/>
      <c r="P435" s="36"/>
      <c r="Q435" s="38">
        <f>IF(OR(C435&lt;&gt;"loan",E435=""),"",IF(ISNA(MATCH(E435,Units!$A$2:$A$501,0)),"",IF(INDEX(Units!$E$2:$E$501,MATCH(E435,Units!$A$2:$A$501,0))="","",IF(K435="","No due date",IF(INT(K435)&gt;INDEX(Units!$E$2:$E$501,MATCH(E435,Units!$A$2:$A$501,0)),"Past cal date","OK")))))</f>
      </c>
      <c r="R435" s="37">
        <f>IF(A435="Overdue",K435+ROW()/10000000,"")</f>
      </c>
    </row>
    <row r="436">
      <c r="A436" s="38">
        <f>IF(C436="","",IF(B436="","Needs ID",IF(OR(C436="loan",C436="send_out"),IF(COUNTIF($L$2:$L$1001,B436)&gt;0,"Closed",IF(K436="","Open",IF(K436&lt;NOW(),"Overdue","Open"))),IF(C436="return",IF(OR(L436="",COUNTIF($B$2:$B$1001,L436)=0),"No match",IF(OR(M436="worn",M436="damaged"),"Quarantine","Returned")),IF(C436="issue","Issued",IF(C436="transfer","Moved",IF(C436="write_off","Written off",IF(C436="unfilled","Unfilled",""))))))))</f>
      </c>
      <c r="B436" s="31"/>
      <c r="C436" s="35"/>
      <c r="D436" s="33"/>
      <c r="E436" s="31"/>
      <c r="F436" s="31"/>
      <c r="G436" s="37">
        <f>IF(F436="","",IF(ISNA(MATCH(F436,'Item master'!$A$2:$A$301,0)),"Not in Item master",IFERROR(INDEX('Item master'!$B$2:$B$301,MATCH(F436,'Item master'!$A$2:$A$301,0))&amp;"","")))</f>
      </c>
      <c r="H436" s="34"/>
      <c r="I436" s="31"/>
      <c r="J436" s="31"/>
      <c r="K436" s="33"/>
      <c r="L436" s="31"/>
      <c r="M436" s="35"/>
      <c r="N436" s="30"/>
      <c r="O436" s="30"/>
      <c r="P436" s="36"/>
      <c r="Q436" s="38">
        <f>IF(OR(C436&lt;&gt;"loan",E436=""),"",IF(ISNA(MATCH(E436,Units!$A$2:$A$501,0)),"",IF(INDEX(Units!$E$2:$E$501,MATCH(E436,Units!$A$2:$A$501,0))="","",IF(K436="","No due date",IF(INT(K436)&gt;INDEX(Units!$E$2:$E$501,MATCH(E436,Units!$A$2:$A$501,0)),"Past cal date","OK")))))</f>
      </c>
      <c r="R436" s="37">
        <f>IF(A436="Overdue",K436+ROW()/10000000,"")</f>
      </c>
    </row>
    <row r="437">
      <c r="A437" s="38">
        <f>IF(C437="","",IF(B437="","Needs ID",IF(OR(C437="loan",C437="send_out"),IF(COUNTIF($L$2:$L$1001,B437)&gt;0,"Closed",IF(K437="","Open",IF(K437&lt;NOW(),"Overdue","Open"))),IF(C437="return",IF(OR(L437="",COUNTIF($B$2:$B$1001,L437)=0),"No match",IF(OR(M437="worn",M437="damaged"),"Quarantine","Returned")),IF(C437="issue","Issued",IF(C437="transfer","Moved",IF(C437="write_off","Written off",IF(C437="unfilled","Unfilled",""))))))))</f>
      </c>
      <c r="B437" s="31"/>
      <c r="C437" s="35"/>
      <c r="D437" s="33"/>
      <c r="E437" s="31"/>
      <c r="F437" s="31"/>
      <c r="G437" s="37">
        <f>IF(F437="","",IF(ISNA(MATCH(F437,'Item master'!$A$2:$A$301,0)),"Not in Item master",IFERROR(INDEX('Item master'!$B$2:$B$301,MATCH(F437,'Item master'!$A$2:$A$301,0))&amp;"","")))</f>
      </c>
      <c r="H437" s="34"/>
      <c r="I437" s="31"/>
      <c r="J437" s="31"/>
      <c r="K437" s="33"/>
      <c r="L437" s="31"/>
      <c r="M437" s="35"/>
      <c r="N437" s="30"/>
      <c r="O437" s="30"/>
      <c r="P437" s="36"/>
      <c r="Q437" s="38">
        <f>IF(OR(C437&lt;&gt;"loan",E437=""),"",IF(ISNA(MATCH(E437,Units!$A$2:$A$501,0)),"",IF(INDEX(Units!$E$2:$E$501,MATCH(E437,Units!$A$2:$A$501,0))="","",IF(K437="","No due date",IF(INT(K437)&gt;INDEX(Units!$E$2:$E$501,MATCH(E437,Units!$A$2:$A$501,0)),"Past cal date","OK")))))</f>
      </c>
      <c r="R437" s="37">
        <f>IF(A437="Overdue",K437+ROW()/10000000,"")</f>
      </c>
    </row>
    <row r="438">
      <c r="A438" s="38">
        <f>IF(C438="","",IF(B438="","Needs ID",IF(OR(C438="loan",C438="send_out"),IF(COUNTIF($L$2:$L$1001,B438)&gt;0,"Closed",IF(K438="","Open",IF(K438&lt;NOW(),"Overdue","Open"))),IF(C438="return",IF(OR(L438="",COUNTIF($B$2:$B$1001,L438)=0),"No match",IF(OR(M438="worn",M438="damaged"),"Quarantine","Returned")),IF(C438="issue","Issued",IF(C438="transfer","Moved",IF(C438="write_off","Written off",IF(C438="unfilled","Unfilled",""))))))))</f>
      </c>
      <c r="B438" s="31"/>
      <c r="C438" s="35"/>
      <c r="D438" s="33"/>
      <c r="E438" s="31"/>
      <c r="F438" s="31"/>
      <c r="G438" s="37">
        <f>IF(F438="","",IF(ISNA(MATCH(F438,'Item master'!$A$2:$A$301,0)),"Not in Item master",IFERROR(INDEX('Item master'!$B$2:$B$301,MATCH(F438,'Item master'!$A$2:$A$301,0))&amp;"","")))</f>
      </c>
      <c r="H438" s="34"/>
      <c r="I438" s="31"/>
      <c r="J438" s="31"/>
      <c r="K438" s="33"/>
      <c r="L438" s="31"/>
      <c r="M438" s="35"/>
      <c r="N438" s="30"/>
      <c r="O438" s="30"/>
      <c r="P438" s="36"/>
      <c r="Q438" s="38">
        <f>IF(OR(C438&lt;&gt;"loan",E438=""),"",IF(ISNA(MATCH(E438,Units!$A$2:$A$501,0)),"",IF(INDEX(Units!$E$2:$E$501,MATCH(E438,Units!$A$2:$A$501,0))="","",IF(K438="","No due date",IF(INT(K438)&gt;INDEX(Units!$E$2:$E$501,MATCH(E438,Units!$A$2:$A$501,0)),"Past cal date","OK")))))</f>
      </c>
      <c r="R438" s="37">
        <f>IF(A438="Overdue",K438+ROW()/10000000,"")</f>
      </c>
    </row>
    <row r="439">
      <c r="A439" s="38">
        <f>IF(C439="","",IF(B439="","Needs ID",IF(OR(C439="loan",C439="send_out"),IF(COUNTIF($L$2:$L$1001,B439)&gt;0,"Closed",IF(K439="","Open",IF(K439&lt;NOW(),"Overdue","Open"))),IF(C439="return",IF(OR(L439="",COUNTIF($B$2:$B$1001,L439)=0),"No match",IF(OR(M439="worn",M439="damaged"),"Quarantine","Returned")),IF(C439="issue","Issued",IF(C439="transfer","Moved",IF(C439="write_off","Written off",IF(C439="unfilled","Unfilled",""))))))))</f>
      </c>
      <c r="B439" s="31"/>
      <c r="C439" s="35"/>
      <c r="D439" s="33"/>
      <c r="E439" s="31"/>
      <c r="F439" s="31"/>
      <c r="G439" s="37">
        <f>IF(F439="","",IF(ISNA(MATCH(F439,'Item master'!$A$2:$A$301,0)),"Not in Item master",IFERROR(INDEX('Item master'!$B$2:$B$301,MATCH(F439,'Item master'!$A$2:$A$301,0))&amp;"","")))</f>
      </c>
      <c r="H439" s="34"/>
      <c r="I439" s="31"/>
      <c r="J439" s="31"/>
      <c r="K439" s="33"/>
      <c r="L439" s="31"/>
      <c r="M439" s="35"/>
      <c r="N439" s="30"/>
      <c r="O439" s="30"/>
      <c r="P439" s="36"/>
      <c r="Q439" s="38">
        <f>IF(OR(C439&lt;&gt;"loan",E439=""),"",IF(ISNA(MATCH(E439,Units!$A$2:$A$501,0)),"",IF(INDEX(Units!$E$2:$E$501,MATCH(E439,Units!$A$2:$A$501,0))="","",IF(K439="","No due date",IF(INT(K439)&gt;INDEX(Units!$E$2:$E$501,MATCH(E439,Units!$A$2:$A$501,0)),"Past cal date","OK")))))</f>
      </c>
      <c r="R439" s="37">
        <f>IF(A439="Overdue",K439+ROW()/10000000,"")</f>
      </c>
    </row>
    <row r="440">
      <c r="A440" s="38">
        <f>IF(C440="","",IF(B440="","Needs ID",IF(OR(C440="loan",C440="send_out"),IF(COUNTIF($L$2:$L$1001,B440)&gt;0,"Closed",IF(K440="","Open",IF(K440&lt;NOW(),"Overdue","Open"))),IF(C440="return",IF(OR(L440="",COUNTIF($B$2:$B$1001,L440)=0),"No match",IF(OR(M440="worn",M440="damaged"),"Quarantine","Returned")),IF(C440="issue","Issued",IF(C440="transfer","Moved",IF(C440="write_off","Written off",IF(C440="unfilled","Unfilled",""))))))))</f>
      </c>
      <c r="B440" s="31"/>
      <c r="C440" s="35"/>
      <c r="D440" s="33"/>
      <c r="E440" s="31"/>
      <c r="F440" s="31"/>
      <c r="G440" s="37">
        <f>IF(F440="","",IF(ISNA(MATCH(F440,'Item master'!$A$2:$A$301,0)),"Not in Item master",IFERROR(INDEX('Item master'!$B$2:$B$301,MATCH(F440,'Item master'!$A$2:$A$301,0))&amp;"","")))</f>
      </c>
      <c r="H440" s="34"/>
      <c r="I440" s="31"/>
      <c r="J440" s="31"/>
      <c r="K440" s="33"/>
      <c r="L440" s="31"/>
      <c r="M440" s="35"/>
      <c r="N440" s="30"/>
      <c r="O440" s="30"/>
      <c r="P440" s="36"/>
      <c r="Q440" s="38">
        <f>IF(OR(C440&lt;&gt;"loan",E440=""),"",IF(ISNA(MATCH(E440,Units!$A$2:$A$501,0)),"",IF(INDEX(Units!$E$2:$E$501,MATCH(E440,Units!$A$2:$A$501,0))="","",IF(K440="","No due date",IF(INT(K440)&gt;INDEX(Units!$E$2:$E$501,MATCH(E440,Units!$A$2:$A$501,0)),"Past cal date","OK")))))</f>
      </c>
      <c r="R440" s="37">
        <f>IF(A440="Overdue",K440+ROW()/10000000,"")</f>
      </c>
    </row>
    <row r="441">
      <c r="A441" s="38">
        <f>IF(C441="","",IF(B441="","Needs ID",IF(OR(C441="loan",C441="send_out"),IF(COUNTIF($L$2:$L$1001,B441)&gt;0,"Closed",IF(K441="","Open",IF(K441&lt;NOW(),"Overdue","Open"))),IF(C441="return",IF(OR(L441="",COUNTIF($B$2:$B$1001,L441)=0),"No match",IF(OR(M441="worn",M441="damaged"),"Quarantine","Returned")),IF(C441="issue","Issued",IF(C441="transfer","Moved",IF(C441="write_off","Written off",IF(C441="unfilled","Unfilled",""))))))))</f>
      </c>
      <c r="B441" s="31"/>
      <c r="C441" s="35"/>
      <c r="D441" s="33"/>
      <c r="E441" s="31"/>
      <c r="F441" s="31"/>
      <c r="G441" s="37">
        <f>IF(F441="","",IF(ISNA(MATCH(F441,'Item master'!$A$2:$A$301,0)),"Not in Item master",IFERROR(INDEX('Item master'!$B$2:$B$301,MATCH(F441,'Item master'!$A$2:$A$301,0))&amp;"","")))</f>
      </c>
      <c r="H441" s="34"/>
      <c r="I441" s="31"/>
      <c r="J441" s="31"/>
      <c r="K441" s="33"/>
      <c r="L441" s="31"/>
      <c r="M441" s="35"/>
      <c r="N441" s="30"/>
      <c r="O441" s="30"/>
      <c r="P441" s="36"/>
      <c r="Q441" s="38">
        <f>IF(OR(C441&lt;&gt;"loan",E441=""),"",IF(ISNA(MATCH(E441,Units!$A$2:$A$501,0)),"",IF(INDEX(Units!$E$2:$E$501,MATCH(E441,Units!$A$2:$A$501,0))="","",IF(K441="","No due date",IF(INT(K441)&gt;INDEX(Units!$E$2:$E$501,MATCH(E441,Units!$A$2:$A$501,0)),"Past cal date","OK")))))</f>
      </c>
      <c r="R441" s="37">
        <f>IF(A441="Overdue",K441+ROW()/10000000,"")</f>
      </c>
    </row>
    <row r="442">
      <c r="A442" s="38">
        <f>IF(C442="","",IF(B442="","Needs ID",IF(OR(C442="loan",C442="send_out"),IF(COUNTIF($L$2:$L$1001,B442)&gt;0,"Closed",IF(K442="","Open",IF(K442&lt;NOW(),"Overdue","Open"))),IF(C442="return",IF(OR(L442="",COUNTIF($B$2:$B$1001,L442)=0),"No match",IF(OR(M442="worn",M442="damaged"),"Quarantine","Returned")),IF(C442="issue","Issued",IF(C442="transfer","Moved",IF(C442="write_off","Written off",IF(C442="unfilled","Unfilled",""))))))))</f>
      </c>
      <c r="B442" s="31"/>
      <c r="C442" s="35"/>
      <c r="D442" s="33"/>
      <c r="E442" s="31"/>
      <c r="F442" s="31"/>
      <c r="G442" s="37">
        <f>IF(F442="","",IF(ISNA(MATCH(F442,'Item master'!$A$2:$A$301,0)),"Not in Item master",IFERROR(INDEX('Item master'!$B$2:$B$301,MATCH(F442,'Item master'!$A$2:$A$301,0))&amp;"","")))</f>
      </c>
      <c r="H442" s="34"/>
      <c r="I442" s="31"/>
      <c r="J442" s="31"/>
      <c r="K442" s="33"/>
      <c r="L442" s="31"/>
      <c r="M442" s="35"/>
      <c r="N442" s="30"/>
      <c r="O442" s="30"/>
      <c r="P442" s="36"/>
      <c r="Q442" s="38">
        <f>IF(OR(C442&lt;&gt;"loan",E442=""),"",IF(ISNA(MATCH(E442,Units!$A$2:$A$501,0)),"",IF(INDEX(Units!$E$2:$E$501,MATCH(E442,Units!$A$2:$A$501,0))="","",IF(K442="","No due date",IF(INT(K442)&gt;INDEX(Units!$E$2:$E$501,MATCH(E442,Units!$A$2:$A$501,0)),"Past cal date","OK")))))</f>
      </c>
      <c r="R442" s="37">
        <f>IF(A442="Overdue",K442+ROW()/10000000,"")</f>
      </c>
    </row>
    <row r="443">
      <c r="A443" s="38">
        <f>IF(C443="","",IF(B443="","Needs ID",IF(OR(C443="loan",C443="send_out"),IF(COUNTIF($L$2:$L$1001,B443)&gt;0,"Closed",IF(K443="","Open",IF(K443&lt;NOW(),"Overdue","Open"))),IF(C443="return",IF(OR(L443="",COUNTIF($B$2:$B$1001,L443)=0),"No match",IF(OR(M443="worn",M443="damaged"),"Quarantine","Returned")),IF(C443="issue","Issued",IF(C443="transfer","Moved",IF(C443="write_off","Written off",IF(C443="unfilled","Unfilled",""))))))))</f>
      </c>
      <c r="B443" s="31"/>
      <c r="C443" s="35"/>
      <c r="D443" s="33"/>
      <c r="E443" s="31"/>
      <c r="F443" s="31"/>
      <c r="G443" s="37">
        <f>IF(F443="","",IF(ISNA(MATCH(F443,'Item master'!$A$2:$A$301,0)),"Not in Item master",IFERROR(INDEX('Item master'!$B$2:$B$301,MATCH(F443,'Item master'!$A$2:$A$301,0))&amp;"","")))</f>
      </c>
      <c r="H443" s="34"/>
      <c r="I443" s="31"/>
      <c r="J443" s="31"/>
      <c r="K443" s="33"/>
      <c r="L443" s="31"/>
      <c r="M443" s="35"/>
      <c r="N443" s="30"/>
      <c r="O443" s="30"/>
      <c r="P443" s="36"/>
      <c r="Q443" s="38">
        <f>IF(OR(C443&lt;&gt;"loan",E443=""),"",IF(ISNA(MATCH(E443,Units!$A$2:$A$501,0)),"",IF(INDEX(Units!$E$2:$E$501,MATCH(E443,Units!$A$2:$A$501,0))="","",IF(K443="","No due date",IF(INT(K443)&gt;INDEX(Units!$E$2:$E$501,MATCH(E443,Units!$A$2:$A$501,0)),"Past cal date","OK")))))</f>
      </c>
      <c r="R443" s="37">
        <f>IF(A443="Overdue",K443+ROW()/10000000,"")</f>
      </c>
    </row>
    <row r="444">
      <c r="A444" s="38">
        <f>IF(C444="","",IF(B444="","Needs ID",IF(OR(C444="loan",C444="send_out"),IF(COUNTIF($L$2:$L$1001,B444)&gt;0,"Closed",IF(K444="","Open",IF(K444&lt;NOW(),"Overdue","Open"))),IF(C444="return",IF(OR(L444="",COUNTIF($B$2:$B$1001,L444)=0),"No match",IF(OR(M444="worn",M444="damaged"),"Quarantine","Returned")),IF(C444="issue","Issued",IF(C444="transfer","Moved",IF(C444="write_off","Written off",IF(C444="unfilled","Unfilled",""))))))))</f>
      </c>
      <c r="B444" s="31"/>
      <c r="C444" s="35"/>
      <c r="D444" s="33"/>
      <c r="E444" s="31"/>
      <c r="F444" s="31"/>
      <c r="G444" s="37">
        <f>IF(F444="","",IF(ISNA(MATCH(F444,'Item master'!$A$2:$A$301,0)),"Not in Item master",IFERROR(INDEX('Item master'!$B$2:$B$301,MATCH(F444,'Item master'!$A$2:$A$301,0))&amp;"","")))</f>
      </c>
      <c r="H444" s="34"/>
      <c r="I444" s="31"/>
      <c r="J444" s="31"/>
      <c r="K444" s="33"/>
      <c r="L444" s="31"/>
      <c r="M444" s="35"/>
      <c r="N444" s="30"/>
      <c r="O444" s="30"/>
      <c r="P444" s="36"/>
      <c r="Q444" s="38">
        <f>IF(OR(C444&lt;&gt;"loan",E444=""),"",IF(ISNA(MATCH(E444,Units!$A$2:$A$501,0)),"",IF(INDEX(Units!$E$2:$E$501,MATCH(E444,Units!$A$2:$A$501,0))="","",IF(K444="","No due date",IF(INT(K444)&gt;INDEX(Units!$E$2:$E$501,MATCH(E444,Units!$A$2:$A$501,0)),"Past cal date","OK")))))</f>
      </c>
      <c r="R444" s="37">
        <f>IF(A444="Overdue",K444+ROW()/10000000,"")</f>
      </c>
    </row>
    <row r="445">
      <c r="A445" s="38">
        <f>IF(C445="","",IF(B445="","Needs ID",IF(OR(C445="loan",C445="send_out"),IF(COUNTIF($L$2:$L$1001,B445)&gt;0,"Closed",IF(K445="","Open",IF(K445&lt;NOW(),"Overdue","Open"))),IF(C445="return",IF(OR(L445="",COUNTIF($B$2:$B$1001,L445)=0),"No match",IF(OR(M445="worn",M445="damaged"),"Quarantine","Returned")),IF(C445="issue","Issued",IF(C445="transfer","Moved",IF(C445="write_off","Written off",IF(C445="unfilled","Unfilled",""))))))))</f>
      </c>
      <c r="B445" s="31"/>
      <c r="C445" s="35"/>
      <c r="D445" s="33"/>
      <c r="E445" s="31"/>
      <c r="F445" s="31"/>
      <c r="G445" s="37">
        <f>IF(F445="","",IF(ISNA(MATCH(F445,'Item master'!$A$2:$A$301,0)),"Not in Item master",IFERROR(INDEX('Item master'!$B$2:$B$301,MATCH(F445,'Item master'!$A$2:$A$301,0))&amp;"","")))</f>
      </c>
      <c r="H445" s="34"/>
      <c r="I445" s="31"/>
      <c r="J445" s="31"/>
      <c r="K445" s="33"/>
      <c r="L445" s="31"/>
      <c r="M445" s="35"/>
      <c r="N445" s="30"/>
      <c r="O445" s="30"/>
      <c r="P445" s="36"/>
      <c r="Q445" s="38">
        <f>IF(OR(C445&lt;&gt;"loan",E445=""),"",IF(ISNA(MATCH(E445,Units!$A$2:$A$501,0)),"",IF(INDEX(Units!$E$2:$E$501,MATCH(E445,Units!$A$2:$A$501,0))="","",IF(K445="","No due date",IF(INT(K445)&gt;INDEX(Units!$E$2:$E$501,MATCH(E445,Units!$A$2:$A$501,0)),"Past cal date","OK")))))</f>
      </c>
      <c r="R445" s="37">
        <f>IF(A445="Overdue",K445+ROW()/10000000,"")</f>
      </c>
    </row>
    <row r="446">
      <c r="A446" s="38">
        <f>IF(C446="","",IF(B446="","Needs ID",IF(OR(C446="loan",C446="send_out"),IF(COUNTIF($L$2:$L$1001,B446)&gt;0,"Closed",IF(K446="","Open",IF(K446&lt;NOW(),"Overdue","Open"))),IF(C446="return",IF(OR(L446="",COUNTIF($B$2:$B$1001,L446)=0),"No match",IF(OR(M446="worn",M446="damaged"),"Quarantine","Returned")),IF(C446="issue","Issued",IF(C446="transfer","Moved",IF(C446="write_off","Written off",IF(C446="unfilled","Unfilled",""))))))))</f>
      </c>
      <c r="B446" s="31"/>
      <c r="C446" s="35"/>
      <c r="D446" s="33"/>
      <c r="E446" s="31"/>
      <c r="F446" s="31"/>
      <c r="G446" s="37">
        <f>IF(F446="","",IF(ISNA(MATCH(F446,'Item master'!$A$2:$A$301,0)),"Not in Item master",IFERROR(INDEX('Item master'!$B$2:$B$301,MATCH(F446,'Item master'!$A$2:$A$301,0))&amp;"","")))</f>
      </c>
      <c r="H446" s="34"/>
      <c r="I446" s="31"/>
      <c r="J446" s="31"/>
      <c r="K446" s="33"/>
      <c r="L446" s="31"/>
      <c r="M446" s="35"/>
      <c r="N446" s="30"/>
      <c r="O446" s="30"/>
      <c r="P446" s="36"/>
      <c r="Q446" s="38">
        <f>IF(OR(C446&lt;&gt;"loan",E446=""),"",IF(ISNA(MATCH(E446,Units!$A$2:$A$501,0)),"",IF(INDEX(Units!$E$2:$E$501,MATCH(E446,Units!$A$2:$A$501,0))="","",IF(K446="","No due date",IF(INT(K446)&gt;INDEX(Units!$E$2:$E$501,MATCH(E446,Units!$A$2:$A$501,0)),"Past cal date","OK")))))</f>
      </c>
      <c r="R446" s="37">
        <f>IF(A446="Overdue",K446+ROW()/10000000,"")</f>
      </c>
    </row>
    <row r="447">
      <c r="A447" s="38">
        <f>IF(C447="","",IF(B447="","Needs ID",IF(OR(C447="loan",C447="send_out"),IF(COUNTIF($L$2:$L$1001,B447)&gt;0,"Closed",IF(K447="","Open",IF(K447&lt;NOW(),"Overdue","Open"))),IF(C447="return",IF(OR(L447="",COUNTIF($B$2:$B$1001,L447)=0),"No match",IF(OR(M447="worn",M447="damaged"),"Quarantine","Returned")),IF(C447="issue","Issued",IF(C447="transfer","Moved",IF(C447="write_off","Written off",IF(C447="unfilled","Unfilled",""))))))))</f>
      </c>
      <c r="B447" s="31"/>
      <c r="C447" s="35"/>
      <c r="D447" s="33"/>
      <c r="E447" s="31"/>
      <c r="F447" s="31"/>
      <c r="G447" s="37">
        <f>IF(F447="","",IF(ISNA(MATCH(F447,'Item master'!$A$2:$A$301,0)),"Not in Item master",IFERROR(INDEX('Item master'!$B$2:$B$301,MATCH(F447,'Item master'!$A$2:$A$301,0))&amp;"","")))</f>
      </c>
      <c r="H447" s="34"/>
      <c r="I447" s="31"/>
      <c r="J447" s="31"/>
      <c r="K447" s="33"/>
      <c r="L447" s="31"/>
      <c r="M447" s="35"/>
      <c r="N447" s="30"/>
      <c r="O447" s="30"/>
      <c r="P447" s="36"/>
      <c r="Q447" s="38">
        <f>IF(OR(C447&lt;&gt;"loan",E447=""),"",IF(ISNA(MATCH(E447,Units!$A$2:$A$501,0)),"",IF(INDEX(Units!$E$2:$E$501,MATCH(E447,Units!$A$2:$A$501,0))="","",IF(K447="","No due date",IF(INT(K447)&gt;INDEX(Units!$E$2:$E$501,MATCH(E447,Units!$A$2:$A$501,0)),"Past cal date","OK")))))</f>
      </c>
      <c r="R447" s="37">
        <f>IF(A447="Overdue",K447+ROW()/10000000,"")</f>
      </c>
    </row>
    <row r="448">
      <c r="A448" s="38">
        <f>IF(C448="","",IF(B448="","Needs ID",IF(OR(C448="loan",C448="send_out"),IF(COUNTIF($L$2:$L$1001,B448)&gt;0,"Closed",IF(K448="","Open",IF(K448&lt;NOW(),"Overdue","Open"))),IF(C448="return",IF(OR(L448="",COUNTIF($B$2:$B$1001,L448)=0),"No match",IF(OR(M448="worn",M448="damaged"),"Quarantine","Returned")),IF(C448="issue","Issued",IF(C448="transfer","Moved",IF(C448="write_off","Written off",IF(C448="unfilled","Unfilled",""))))))))</f>
      </c>
      <c r="B448" s="31"/>
      <c r="C448" s="35"/>
      <c r="D448" s="33"/>
      <c r="E448" s="31"/>
      <c r="F448" s="31"/>
      <c r="G448" s="37">
        <f>IF(F448="","",IF(ISNA(MATCH(F448,'Item master'!$A$2:$A$301,0)),"Not in Item master",IFERROR(INDEX('Item master'!$B$2:$B$301,MATCH(F448,'Item master'!$A$2:$A$301,0))&amp;"","")))</f>
      </c>
      <c r="H448" s="34"/>
      <c r="I448" s="31"/>
      <c r="J448" s="31"/>
      <c r="K448" s="33"/>
      <c r="L448" s="31"/>
      <c r="M448" s="35"/>
      <c r="N448" s="30"/>
      <c r="O448" s="30"/>
      <c r="P448" s="36"/>
      <c r="Q448" s="38">
        <f>IF(OR(C448&lt;&gt;"loan",E448=""),"",IF(ISNA(MATCH(E448,Units!$A$2:$A$501,0)),"",IF(INDEX(Units!$E$2:$E$501,MATCH(E448,Units!$A$2:$A$501,0))="","",IF(K448="","No due date",IF(INT(K448)&gt;INDEX(Units!$E$2:$E$501,MATCH(E448,Units!$A$2:$A$501,0)),"Past cal date","OK")))))</f>
      </c>
      <c r="R448" s="37">
        <f>IF(A448="Overdue",K448+ROW()/10000000,"")</f>
      </c>
    </row>
    <row r="449">
      <c r="A449" s="38">
        <f>IF(C449="","",IF(B449="","Needs ID",IF(OR(C449="loan",C449="send_out"),IF(COUNTIF($L$2:$L$1001,B449)&gt;0,"Closed",IF(K449="","Open",IF(K449&lt;NOW(),"Overdue","Open"))),IF(C449="return",IF(OR(L449="",COUNTIF($B$2:$B$1001,L449)=0),"No match",IF(OR(M449="worn",M449="damaged"),"Quarantine","Returned")),IF(C449="issue","Issued",IF(C449="transfer","Moved",IF(C449="write_off","Written off",IF(C449="unfilled","Unfilled",""))))))))</f>
      </c>
      <c r="B449" s="31"/>
      <c r="C449" s="35"/>
      <c r="D449" s="33"/>
      <c r="E449" s="31"/>
      <c r="F449" s="31"/>
      <c r="G449" s="37">
        <f>IF(F449="","",IF(ISNA(MATCH(F449,'Item master'!$A$2:$A$301,0)),"Not in Item master",IFERROR(INDEX('Item master'!$B$2:$B$301,MATCH(F449,'Item master'!$A$2:$A$301,0))&amp;"","")))</f>
      </c>
      <c r="H449" s="34"/>
      <c r="I449" s="31"/>
      <c r="J449" s="31"/>
      <c r="K449" s="33"/>
      <c r="L449" s="31"/>
      <c r="M449" s="35"/>
      <c r="N449" s="30"/>
      <c r="O449" s="30"/>
      <c r="P449" s="36"/>
      <c r="Q449" s="38">
        <f>IF(OR(C449&lt;&gt;"loan",E449=""),"",IF(ISNA(MATCH(E449,Units!$A$2:$A$501,0)),"",IF(INDEX(Units!$E$2:$E$501,MATCH(E449,Units!$A$2:$A$501,0))="","",IF(K449="","No due date",IF(INT(K449)&gt;INDEX(Units!$E$2:$E$501,MATCH(E449,Units!$A$2:$A$501,0)),"Past cal date","OK")))))</f>
      </c>
      <c r="R449" s="37">
        <f>IF(A449="Overdue",K449+ROW()/10000000,"")</f>
      </c>
    </row>
    <row r="450">
      <c r="A450" s="38">
        <f>IF(C450="","",IF(B450="","Needs ID",IF(OR(C450="loan",C450="send_out"),IF(COUNTIF($L$2:$L$1001,B450)&gt;0,"Closed",IF(K450="","Open",IF(K450&lt;NOW(),"Overdue","Open"))),IF(C450="return",IF(OR(L450="",COUNTIF($B$2:$B$1001,L450)=0),"No match",IF(OR(M450="worn",M450="damaged"),"Quarantine","Returned")),IF(C450="issue","Issued",IF(C450="transfer","Moved",IF(C450="write_off","Written off",IF(C450="unfilled","Unfilled",""))))))))</f>
      </c>
      <c r="B450" s="31"/>
      <c r="C450" s="35"/>
      <c r="D450" s="33"/>
      <c r="E450" s="31"/>
      <c r="F450" s="31"/>
      <c r="G450" s="37">
        <f>IF(F450="","",IF(ISNA(MATCH(F450,'Item master'!$A$2:$A$301,0)),"Not in Item master",IFERROR(INDEX('Item master'!$B$2:$B$301,MATCH(F450,'Item master'!$A$2:$A$301,0))&amp;"","")))</f>
      </c>
      <c r="H450" s="34"/>
      <c r="I450" s="31"/>
      <c r="J450" s="31"/>
      <c r="K450" s="33"/>
      <c r="L450" s="31"/>
      <c r="M450" s="35"/>
      <c r="N450" s="30"/>
      <c r="O450" s="30"/>
      <c r="P450" s="36"/>
      <c r="Q450" s="38">
        <f>IF(OR(C450&lt;&gt;"loan",E450=""),"",IF(ISNA(MATCH(E450,Units!$A$2:$A$501,0)),"",IF(INDEX(Units!$E$2:$E$501,MATCH(E450,Units!$A$2:$A$501,0))="","",IF(K450="","No due date",IF(INT(K450)&gt;INDEX(Units!$E$2:$E$501,MATCH(E450,Units!$A$2:$A$501,0)),"Past cal date","OK")))))</f>
      </c>
      <c r="R450" s="37">
        <f>IF(A450="Overdue",K450+ROW()/10000000,"")</f>
      </c>
    </row>
    <row r="451">
      <c r="A451" s="38">
        <f>IF(C451="","",IF(B451="","Needs ID",IF(OR(C451="loan",C451="send_out"),IF(COUNTIF($L$2:$L$1001,B451)&gt;0,"Closed",IF(K451="","Open",IF(K451&lt;NOW(),"Overdue","Open"))),IF(C451="return",IF(OR(L451="",COUNTIF($B$2:$B$1001,L451)=0),"No match",IF(OR(M451="worn",M451="damaged"),"Quarantine","Returned")),IF(C451="issue","Issued",IF(C451="transfer","Moved",IF(C451="write_off","Written off",IF(C451="unfilled","Unfilled",""))))))))</f>
      </c>
      <c r="B451" s="31"/>
      <c r="C451" s="35"/>
      <c r="D451" s="33"/>
      <c r="E451" s="31"/>
      <c r="F451" s="31"/>
      <c r="G451" s="37">
        <f>IF(F451="","",IF(ISNA(MATCH(F451,'Item master'!$A$2:$A$301,0)),"Not in Item master",IFERROR(INDEX('Item master'!$B$2:$B$301,MATCH(F451,'Item master'!$A$2:$A$301,0))&amp;"","")))</f>
      </c>
      <c r="H451" s="34"/>
      <c r="I451" s="31"/>
      <c r="J451" s="31"/>
      <c r="K451" s="33"/>
      <c r="L451" s="31"/>
      <c r="M451" s="35"/>
      <c r="N451" s="30"/>
      <c r="O451" s="30"/>
      <c r="P451" s="36"/>
      <c r="Q451" s="38">
        <f>IF(OR(C451&lt;&gt;"loan",E451=""),"",IF(ISNA(MATCH(E451,Units!$A$2:$A$501,0)),"",IF(INDEX(Units!$E$2:$E$501,MATCH(E451,Units!$A$2:$A$501,0))="","",IF(K451="","No due date",IF(INT(K451)&gt;INDEX(Units!$E$2:$E$501,MATCH(E451,Units!$A$2:$A$501,0)),"Past cal date","OK")))))</f>
      </c>
      <c r="R451" s="37">
        <f>IF(A451="Overdue",K451+ROW()/10000000,"")</f>
      </c>
    </row>
    <row r="452">
      <c r="A452" s="38">
        <f>IF(C452="","",IF(B452="","Needs ID",IF(OR(C452="loan",C452="send_out"),IF(COUNTIF($L$2:$L$1001,B452)&gt;0,"Closed",IF(K452="","Open",IF(K452&lt;NOW(),"Overdue","Open"))),IF(C452="return",IF(OR(L452="",COUNTIF($B$2:$B$1001,L452)=0),"No match",IF(OR(M452="worn",M452="damaged"),"Quarantine","Returned")),IF(C452="issue","Issued",IF(C452="transfer","Moved",IF(C452="write_off","Written off",IF(C452="unfilled","Unfilled",""))))))))</f>
      </c>
      <c r="B452" s="31"/>
      <c r="C452" s="35"/>
      <c r="D452" s="33"/>
      <c r="E452" s="31"/>
      <c r="F452" s="31"/>
      <c r="G452" s="37">
        <f>IF(F452="","",IF(ISNA(MATCH(F452,'Item master'!$A$2:$A$301,0)),"Not in Item master",IFERROR(INDEX('Item master'!$B$2:$B$301,MATCH(F452,'Item master'!$A$2:$A$301,0))&amp;"","")))</f>
      </c>
      <c r="H452" s="34"/>
      <c r="I452" s="31"/>
      <c r="J452" s="31"/>
      <c r="K452" s="33"/>
      <c r="L452" s="31"/>
      <c r="M452" s="35"/>
      <c r="N452" s="30"/>
      <c r="O452" s="30"/>
      <c r="P452" s="36"/>
      <c r="Q452" s="38">
        <f>IF(OR(C452&lt;&gt;"loan",E452=""),"",IF(ISNA(MATCH(E452,Units!$A$2:$A$501,0)),"",IF(INDEX(Units!$E$2:$E$501,MATCH(E452,Units!$A$2:$A$501,0))="","",IF(K452="","No due date",IF(INT(K452)&gt;INDEX(Units!$E$2:$E$501,MATCH(E452,Units!$A$2:$A$501,0)),"Past cal date","OK")))))</f>
      </c>
      <c r="R452" s="37">
        <f>IF(A452="Overdue",K452+ROW()/10000000,"")</f>
      </c>
    </row>
    <row r="453">
      <c r="A453" s="38">
        <f>IF(C453="","",IF(B453="","Needs ID",IF(OR(C453="loan",C453="send_out"),IF(COUNTIF($L$2:$L$1001,B453)&gt;0,"Closed",IF(K453="","Open",IF(K453&lt;NOW(),"Overdue","Open"))),IF(C453="return",IF(OR(L453="",COUNTIF($B$2:$B$1001,L453)=0),"No match",IF(OR(M453="worn",M453="damaged"),"Quarantine","Returned")),IF(C453="issue","Issued",IF(C453="transfer","Moved",IF(C453="write_off","Written off",IF(C453="unfilled","Unfilled",""))))))))</f>
      </c>
      <c r="B453" s="31"/>
      <c r="C453" s="35"/>
      <c r="D453" s="33"/>
      <c r="E453" s="31"/>
      <c r="F453" s="31"/>
      <c r="G453" s="37">
        <f>IF(F453="","",IF(ISNA(MATCH(F453,'Item master'!$A$2:$A$301,0)),"Not in Item master",IFERROR(INDEX('Item master'!$B$2:$B$301,MATCH(F453,'Item master'!$A$2:$A$301,0))&amp;"","")))</f>
      </c>
      <c r="H453" s="34"/>
      <c r="I453" s="31"/>
      <c r="J453" s="31"/>
      <c r="K453" s="33"/>
      <c r="L453" s="31"/>
      <c r="M453" s="35"/>
      <c r="N453" s="30"/>
      <c r="O453" s="30"/>
      <c r="P453" s="36"/>
      <c r="Q453" s="38">
        <f>IF(OR(C453&lt;&gt;"loan",E453=""),"",IF(ISNA(MATCH(E453,Units!$A$2:$A$501,0)),"",IF(INDEX(Units!$E$2:$E$501,MATCH(E453,Units!$A$2:$A$501,0))="","",IF(K453="","No due date",IF(INT(K453)&gt;INDEX(Units!$E$2:$E$501,MATCH(E453,Units!$A$2:$A$501,0)),"Past cal date","OK")))))</f>
      </c>
      <c r="R453" s="37">
        <f>IF(A453="Overdue",K453+ROW()/10000000,"")</f>
      </c>
    </row>
    <row r="454">
      <c r="A454" s="38">
        <f>IF(C454="","",IF(B454="","Needs ID",IF(OR(C454="loan",C454="send_out"),IF(COUNTIF($L$2:$L$1001,B454)&gt;0,"Closed",IF(K454="","Open",IF(K454&lt;NOW(),"Overdue","Open"))),IF(C454="return",IF(OR(L454="",COUNTIF($B$2:$B$1001,L454)=0),"No match",IF(OR(M454="worn",M454="damaged"),"Quarantine","Returned")),IF(C454="issue","Issued",IF(C454="transfer","Moved",IF(C454="write_off","Written off",IF(C454="unfilled","Unfilled",""))))))))</f>
      </c>
      <c r="B454" s="31"/>
      <c r="C454" s="35"/>
      <c r="D454" s="33"/>
      <c r="E454" s="31"/>
      <c r="F454" s="31"/>
      <c r="G454" s="37">
        <f>IF(F454="","",IF(ISNA(MATCH(F454,'Item master'!$A$2:$A$301,0)),"Not in Item master",IFERROR(INDEX('Item master'!$B$2:$B$301,MATCH(F454,'Item master'!$A$2:$A$301,0))&amp;"","")))</f>
      </c>
      <c r="H454" s="34"/>
      <c r="I454" s="31"/>
      <c r="J454" s="31"/>
      <c r="K454" s="33"/>
      <c r="L454" s="31"/>
      <c r="M454" s="35"/>
      <c r="N454" s="30"/>
      <c r="O454" s="30"/>
      <c r="P454" s="36"/>
      <c r="Q454" s="38">
        <f>IF(OR(C454&lt;&gt;"loan",E454=""),"",IF(ISNA(MATCH(E454,Units!$A$2:$A$501,0)),"",IF(INDEX(Units!$E$2:$E$501,MATCH(E454,Units!$A$2:$A$501,0))="","",IF(K454="","No due date",IF(INT(K454)&gt;INDEX(Units!$E$2:$E$501,MATCH(E454,Units!$A$2:$A$501,0)),"Past cal date","OK")))))</f>
      </c>
      <c r="R454" s="37">
        <f>IF(A454="Overdue",K454+ROW()/10000000,"")</f>
      </c>
    </row>
    <row r="455">
      <c r="A455" s="38">
        <f>IF(C455="","",IF(B455="","Needs ID",IF(OR(C455="loan",C455="send_out"),IF(COUNTIF($L$2:$L$1001,B455)&gt;0,"Closed",IF(K455="","Open",IF(K455&lt;NOW(),"Overdue","Open"))),IF(C455="return",IF(OR(L455="",COUNTIF($B$2:$B$1001,L455)=0),"No match",IF(OR(M455="worn",M455="damaged"),"Quarantine","Returned")),IF(C455="issue","Issued",IF(C455="transfer","Moved",IF(C455="write_off","Written off",IF(C455="unfilled","Unfilled",""))))))))</f>
      </c>
      <c r="B455" s="31"/>
      <c r="C455" s="35"/>
      <c r="D455" s="33"/>
      <c r="E455" s="31"/>
      <c r="F455" s="31"/>
      <c r="G455" s="37">
        <f>IF(F455="","",IF(ISNA(MATCH(F455,'Item master'!$A$2:$A$301,0)),"Not in Item master",IFERROR(INDEX('Item master'!$B$2:$B$301,MATCH(F455,'Item master'!$A$2:$A$301,0))&amp;"","")))</f>
      </c>
      <c r="H455" s="34"/>
      <c r="I455" s="31"/>
      <c r="J455" s="31"/>
      <c r="K455" s="33"/>
      <c r="L455" s="31"/>
      <c r="M455" s="35"/>
      <c r="N455" s="30"/>
      <c r="O455" s="30"/>
      <c r="P455" s="36"/>
      <c r="Q455" s="38">
        <f>IF(OR(C455&lt;&gt;"loan",E455=""),"",IF(ISNA(MATCH(E455,Units!$A$2:$A$501,0)),"",IF(INDEX(Units!$E$2:$E$501,MATCH(E455,Units!$A$2:$A$501,0))="","",IF(K455="","No due date",IF(INT(K455)&gt;INDEX(Units!$E$2:$E$501,MATCH(E455,Units!$A$2:$A$501,0)),"Past cal date","OK")))))</f>
      </c>
      <c r="R455" s="37">
        <f>IF(A455="Overdue",K455+ROW()/10000000,"")</f>
      </c>
    </row>
    <row r="456">
      <c r="A456" s="38">
        <f>IF(C456="","",IF(B456="","Needs ID",IF(OR(C456="loan",C456="send_out"),IF(COUNTIF($L$2:$L$1001,B456)&gt;0,"Closed",IF(K456="","Open",IF(K456&lt;NOW(),"Overdue","Open"))),IF(C456="return",IF(OR(L456="",COUNTIF($B$2:$B$1001,L456)=0),"No match",IF(OR(M456="worn",M456="damaged"),"Quarantine","Returned")),IF(C456="issue","Issued",IF(C456="transfer","Moved",IF(C456="write_off","Written off",IF(C456="unfilled","Unfilled",""))))))))</f>
      </c>
      <c r="B456" s="31"/>
      <c r="C456" s="35"/>
      <c r="D456" s="33"/>
      <c r="E456" s="31"/>
      <c r="F456" s="31"/>
      <c r="G456" s="37">
        <f>IF(F456="","",IF(ISNA(MATCH(F456,'Item master'!$A$2:$A$301,0)),"Not in Item master",IFERROR(INDEX('Item master'!$B$2:$B$301,MATCH(F456,'Item master'!$A$2:$A$301,0))&amp;"","")))</f>
      </c>
      <c r="H456" s="34"/>
      <c r="I456" s="31"/>
      <c r="J456" s="31"/>
      <c r="K456" s="33"/>
      <c r="L456" s="31"/>
      <c r="M456" s="35"/>
      <c r="N456" s="30"/>
      <c r="O456" s="30"/>
      <c r="P456" s="36"/>
      <c r="Q456" s="38">
        <f>IF(OR(C456&lt;&gt;"loan",E456=""),"",IF(ISNA(MATCH(E456,Units!$A$2:$A$501,0)),"",IF(INDEX(Units!$E$2:$E$501,MATCH(E456,Units!$A$2:$A$501,0))="","",IF(K456="","No due date",IF(INT(K456)&gt;INDEX(Units!$E$2:$E$501,MATCH(E456,Units!$A$2:$A$501,0)),"Past cal date","OK")))))</f>
      </c>
      <c r="R456" s="37">
        <f>IF(A456="Overdue",K456+ROW()/10000000,"")</f>
      </c>
    </row>
    <row r="457">
      <c r="A457" s="38">
        <f>IF(C457="","",IF(B457="","Needs ID",IF(OR(C457="loan",C457="send_out"),IF(COUNTIF($L$2:$L$1001,B457)&gt;0,"Closed",IF(K457="","Open",IF(K457&lt;NOW(),"Overdue","Open"))),IF(C457="return",IF(OR(L457="",COUNTIF($B$2:$B$1001,L457)=0),"No match",IF(OR(M457="worn",M457="damaged"),"Quarantine","Returned")),IF(C457="issue","Issued",IF(C457="transfer","Moved",IF(C457="write_off","Written off",IF(C457="unfilled","Unfilled",""))))))))</f>
      </c>
      <c r="B457" s="31"/>
      <c r="C457" s="35"/>
      <c r="D457" s="33"/>
      <c r="E457" s="31"/>
      <c r="F457" s="31"/>
      <c r="G457" s="37">
        <f>IF(F457="","",IF(ISNA(MATCH(F457,'Item master'!$A$2:$A$301,0)),"Not in Item master",IFERROR(INDEX('Item master'!$B$2:$B$301,MATCH(F457,'Item master'!$A$2:$A$301,0))&amp;"","")))</f>
      </c>
      <c r="H457" s="34"/>
      <c r="I457" s="31"/>
      <c r="J457" s="31"/>
      <c r="K457" s="33"/>
      <c r="L457" s="31"/>
      <c r="M457" s="35"/>
      <c r="N457" s="30"/>
      <c r="O457" s="30"/>
      <c r="P457" s="36"/>
      <c r="Q457" s="38">
        <f>IF(OR(C457&lt;&gt;"loan",E457=""),"",IF(ISNA(MATCH(E457,Units!$A$2:$A$501,0)),"",IF(INDEX(Units!$E$2:$E$501,MATCH(E457,Units!$A$2:$A$501,0))="","",IF(K457="","No due date",IF(INT(K457)&gt;INDEX(Units!$E$2:$E$501,MATCH(E457,Units!$A$2:$A$501,0)),"Past cal date","OK")))))</f>
      </c>
      <c r="R457" s="37">
        <f>IF(A457="Overdue",K457+ROW()/10000000,"")</f>
      </c>
    </row>
    <row r="458">
      <c r="A458" s="38">
        <f>IF(C458="","",IF(B458="","Needs ID",IF(OR(C458="loan",C458="send_out"),IF(COUNTIF($L$2:$L$1001,B458)&gt;0,"Closed",IF(K458="","Open",IF(K458&lt;NOW(),"Overdue","Open"))),IF(C458="return",IF(OR(L458="",COUNTIF($B$2:$B$1001,L458)=0),"No match",IF(OR(M458="worn",M458="damaged"),"Quarantine","Returned")),IF(C458="issue","Issued",IF(C458="transfer","Moved",IF(C458="write_off","Written off",IF(C458="unfilled","Unfilled",""))))))))</f>
      </c>
      <c r="B458" s="31"/>
      <c r="C458" s="35"/>
      <c r="D458" s="33"/>
      <c r="E458" s="31"/>
      <c r="F458" s="31"/>
      <c r="G458" s="37">
        <f>IF(F458="","",IF(ISNA(MATCH(F458,'Item master'!$A$2:$A$301,0)),"Not in Item master",IFERROR(INDEX('Item master'!$B$2:$B$301,MATCH(F458,'Item master'!$A$2:$A$301,0))&amp;"","")))</f>
      </c>
      <c r="H458" s="34"/>
      <c r="I458" s="31"/>
      <c r="J458" s="31"/>
      <c r="K458" s="33"/>
      <c r="L458" s="31"/>
      <c r="M458" s="35"/>
      <c r="N458" s="30"/>
      <c r="O458" s="30"/>
      <c r="P458" s="36"/>
      <c r="Q458" s="38">
        <f>IF(OR(C458&lt;&gt;"loan",E458=""),"",IF(ISNA(MATCH(E458,Units!$A$2:$A$501,0)),"",IF(INDEX(Units!$E$2:$E$501,MATCH(E458,Units!$A$2:$A$501,0))="","",IF(K458="","No due date",IF(INT(K458)&gt;INDEX(Units!$E$2:$E$501,MATCH(E458,Units!$A$2:$A$501,0)),"Past cal date","OK")))))</f>
      </c>
      <c r="R458" s="37">
        <f>IF(A458="Overdue",K458+ROW()/10000000,"")</f>
      </c>
    </row>
    <row r="459">
      <c r="A459" s="38">
        <f>IF(C459="","",IF(B459="","Needs ID",IF(OR(C459="loan",C459="send_out"),IF(COUNTIF($L$2:$L$1001,B459)&gt;0,"Closed",IF(K459="","Open",IF(K459&lt;NOW(),"Overdue","Open"))),IF(C459="return",IF(OR(L459="",COUNTIF($B$2:$B$1001,L459)=0),"No match",IF(OR(M459="worn",M459="damaged"),"Quarantine","Returned")),IF(C459="issue","Issued",IF(C459="transfer","Moved",IF(C459="write_off","Written off",IF(C459="unfilled","Unfilled",""))))))))</f>
      </c>
      <c r="B459" s="31"/>
      <c r="C459" s="35"/>
      <c r="D459" s="33"/>
      <c r="E459" s="31"/>
      <c r="F459" s="31"/>
      <c r="G459" s="37">
        <f>IF(F459="","",IF(ISNA(MATCH(F459,'Item master'!$A$2:$A$301,0)),"Not in Item master",IFERROR(INDEX('Item master'!$B$2:$B$301,MATCH(F459,'Item master'!$A$2:$A$301,0))&amp;"","")))</f>
      </c>
      <c r="H459" s="34"/>
      <c r="I459" s="31"/>
      <c r="J459" s="31"/>
      <c r="K459" s="33"/>
      <c r="L459" s="31"/>
      <c r="M459" s="35"/>
      <c r="N459" s="30"/>
      <c r="O459" s="30"/>
      <c r="P459" s="36"/>
      <c r="Q459" s="38">
        <f>IF(OR(C459&lt;&gt;"loan",E459=""),"",IF(ISNA(MATCH(E459,Units!$A$2:$A$501,0)),"",IF(INDEX(Units!$E$2:$E$501,MATCH(E459,Units!$A$2:$A$501,0))="","",IF(K459="","No due date",IF(INT(K459)&gt;INDEX(Units!$E$2:$E$501,MATCH(E459,Units!$A$2:$A$501,0)),"Past cal date","OK")))))</f>
      </c>
      <c r="R459" s="37">
        <f>IF(A459="Overdue",K459+ROW()/10000000,"")</f>
      </c>
    </row>
    <row r="460">
      <c r="A460" s="38">
        <f>IF(C460="","",IF(B460="","Needs ID",IF(OR(C460="loan",C460="send_out"),IF(COUNTIF($L$2:$L$1001,B460)&gt;0,"Closed",IF(K460="","Open",IF(K460&lt;NOW(),"Overdue","Open"))),IF(C460="return",IF(OR(L460="",COUNTIF($B$2:$B$1001,L460)=0),"No match",IF(OR(M460="worn",M460="damaged"),"Quarantine","Returned")),IF(C460="issue","Issued",IF(C460="transfer","Moved",IF(C460="write_off","Written off",IF(C460="unfilled","Unfilled",""))))))))</f>
      </c>
      <c r="B460" s="31"/>
      <c r="C460" s="35"/>
      <c r="D460" s="33"/>
      <c r="E460" s="31"/>
      <c r="F460" s="31"/>
      <c r="G460" s="37">
        <f>IF(F460="","",IF(ISNA(MATCH(F460,'Item master'!$A$2:$A$301,0)),"Not in Item master",IFERROR(INDEX('Item master'!$B$2:$B$301,MATCH(F460,'Item master'!$A$2:$A$301,0))&amp;"","")))</f>
      </c>
      <c r="H460" s="34"/>
      <c r="I460" s="31"/>
      <c r="J460" s="31"/>
      <c r="K460" s="33"/>
      <c r="L460" s="31"/>
      <c r="M460" s="35"/>
      <c r="N460" s="30"/>
      <c r="O460" s="30"/>
      <c r="P460" s="36"/>
      <c r="Q460" s="38">
        <f>IF(OR(C460&lt;&gt;"loan",E460=""),"",IF(ISNA(MATCH(E460,Units!$A$2:$A$501,0)),"",IF(INDEX(Units!$E$2:$E$501,MATCH(E460,Units!$A$2:$A$501,0))="","",IF(K460="","No due date",IF(INT(K460)&gt;INDEX(Units!$E$2:$E$501,MATCH(E460,Units!$A$2:$A$501,0)),"Past cal date","OK")))))</f>
      </c>
      <c r="R460" s="37">
        <f>IF(A460="Overdue",K460+ROW()/10000000,"")</f>
      </c>
    </row>
    <row r="461">
      <c r="A461" s="38">
        <f>IF(C461="","",IF(B461="","Needs ID",IF(OR(C461="loan",C461="send_out"),IF(COUNTIF($L$2:$L$1001,B461)&gt;0,"Closed",IF(K461="","Open",IF(K461&lt;NOW(),"Overdue","Open"))),IF(C461="return",IF(OR(L461="",COUNTIF($B$2:$B$1001,L461)=0),"No match",IF(OR(M461="worn",M461="damaged"),"Quarantine","Returned")),IF(C461="issue","Issued",IF(C461="transfer","Moved",IF(C461="write_off","Written off",IF(C461="unfilled","Unfilled",""))))))))</f>
      </c>
      <c r="B461" s="31"/>
      <c r="C461" s="35"/>
      <c r="D461" s="33"/>
      <c r="E461" s="31"/>
      <c r="F461" s="31"/>
      <c r="G461" s="37">
        <f>IF(F461="","",IF(ISNA(MATCH(F461,'Item master'!$A$2:$A$301,0)),"Not in Item master",IFERROR(INDEX('Item master'!$B$2:$B$301,MATCH(F461,'Item master'!$A$2:$A$301,0))&amp;"","")))</f>
      </c>
      <c r="H461" s="34"/>
      <c r="I461" s="31"/>
      <c r="J461" s="31"/>
      <c r="K461" s="33"/>
      <c r="L461" s="31"/>
      <c r="M461" s="35"/>
      <c r="N461" s="30"/>
      <c r="O461" s="30"/>
      <c r="P461" s="36"/>
      <c r="Q461" s="38">
        <f>IF(OR(C461&lt;&gt;"loan",E461=""),"",IF(ISNA(MATCH(E461,Units!$A$2:$A$501,0)),"",IF(INDEX(Units!$E$2:$E$501,MATCH(E461,Units!$A$2:$A$501,0))="","",IF(K461="","No due date",IF(INT(K461)&gt;INDEX(Units!$E$2:$E$501,MATCH(E461,Units!$A$2:$A$501,0)),"Past cal date","OK")))))</f>
      </c>
      <c r="R461" s="37">
        <f>IF(A461="Overdue",K461+ROW()/10000000,"")</f>
      </c>
    </row>
    <row r="462">
      <c r="A462" s="38">
        <f>IF(C462="","",IF(B462="","Needs ID",IF(OR(C462="loan",C462="send_out"),IF(COUNTIF($L$2:$L$1001,B462)&gt;0,"Closed",IF(K462="","Open",IF(K462&lt;NOW(),"Overdue","Open"))),IF(C462="return",IF(OR(L462="",COUNTIF($B$2:$B$1001,L462)=0),"No match",IF(OR(M462="worn",M462="damaged"),"Quarantine","Returned")),IF(C462="issue","Issued",IF(C462="transfer","Moved",IF(C462="write_off","Written off",IF(C462="unfilled","Unfilled",""))))))))</f>
      </c>
      <c r="B462" s="31"/>
      <c r="C462" s="35"/>
      <c r="D462" s="33"/>
      <c r="E462" s="31"/>
      <c r="F462" s="31"/>
      <c r="G462" s="37">
        <f>IF(F462="","",IF(ISNA(MATCH(F462,'Item master'!$A$2:$A$301,0)),"Not in Item master",IFERROR(INDEX('Item master'!$B$2:$B$301,MATCH(F462,'Item master'!$A$2:$A$301,0))&amp;"","")))</f>
      </c>
      <c r="H462" s="34"/>
      <c r="I462" s="31"/>
      <c r="J462" s="31"/>
      <c r="K462" s="33"/>
      <c r="L462" s="31"/>
      <c r="M462" s="35"/>
      <c r="N462" s="30"/>
      <c r="O462" s="30"/>
      <c r="P462" s="36"/>
      <c r="Q462" s="38">
        <f>IF(OR(C462&lt;&gt;"loan",E462=""),"",IF(ISNA(MATCH(E462,Units!$A$2:$A$501,0)),"",IF(INDEX(Units!$E$2:$E$501,MATCH(E462,Units!$A$2:$A$501,0))="","",IF(K462="","No due date",IF(INT(K462)&gt;INDEX(Units!$E$2:$E$501,MATCH(E462,Units!$A$2:$A$501,0)),"Past cal date","OK")))))</f>
      </c>
      <c r="R462" s="37">
        <f>IF(A462="Overdue",K462+ROW()/10000000,"")</f>
      </c>
    </row>
    <row r="463">
      <c r="A463" s="38">
        <f>IF(C463="","",IF(B463="","Needs ID",IF(OR(C463="loan",C463="send_out"),IF(COUNTIF($L$2:$L$1001,B463)&gt;0,"Closed",IF(K463="","Open",IF(K463&lt;NOW(),"Overdue","Open"))),IF(C463="return",IF(OR(L463="",COUNTIF($B$2:$B$1001,L463)=0),"No match",IF(OR(M463="worn",M463="damaged"),"Quarantine","Returned")),IF(C463="issue","Issued",IF(C463="transfer","Moved",IF(C463="write_off","Written off",IF(C463="unfilled","Unfilled",""))))))))</f>
      </c>
      <c r="B463" s="31"/>
      <c r="C463" s="35"/>
      <c r="D463" s="33"/>
      <c r="E463" s="31"/>
      <c r="F463" s="31"/>
      <c r="G463" s="37">
        <f>IF(F463="","",IF(ISNA(MATCH(F463,'Item master'!$A$2:$A$301,0)),"Not in Item master",IFERROR(INDEX('Item master'!$B$2:$B$301,MATCH(F463,'Item master'!$A$2:$A$301,0))&amp;"","")))</f>
      </c>
      <c r="H463" s="34"/>
      <c r="I463" s="31"/>
      <c r="J463" s="31"/>
      <c r="K463" s="33"/>
      <c r="L463" s="31"/>
      <c r="M463" s="35"/>
      <c r="N463" s="30"/>
      <c r="O463" s="30"/>
      <c r="P463" s="36"/>
      <c r="Q463" s="38">
        <f>IF(OR(C463&lt;&gt;"loan",E463=""),"",IF(ISNA(MATCH(E463,Units!$A$2:$A$501,0)),"",IF(INDEX(Units!$E$2:$E$501,MATCH(E463,Units!$A$2:$A$501,0))="","",IF(K463="","No due date",IF(INT(K463)&gt;INDEX(Units!$E$2:$E$501,MATCH(E463,Units!$A$2:$A$501,0)),"Past cal date","OK")))))</f>
      </c>
      <c r="R463" s="37">
        <f>IF(A463="Overdue",K463+ROW()/10000000,"")</f>
      </c>
    </row>
    <row r="464">
      <c r="A464" s="38">
        <f>IF(C464="","",IF(B464="","Needs ID",IF(OR(C464="loan",C464="send_out"),IF(COUNTIF($L$2:$L$1001,B464)&gt;0,"Closed",IF(K464="","Open",IF(K464&lt;NOW(),"Overdue","Open"))),IF(C464="return",IF(OR(L464="",COUNTIF($B$2:$B$1001,L464)=0),"No match",IF(OR(M464="worn",M464="damaged"),"Quarantine","Returned")),IF(C464="issue","Issued",IF(C464="transfer","Moved",IF(C464="write_off","Written off",IF(C464="unfilled","Unfilled",""))))))))</f>
      </c>
      <c r="B464" s="31"/>
      <c r="C464" s="35"/>
      <c r="D464" s="33"/>
      <c r="E464" s="31"/>
      <c r="F464" s="31"/>
      <c r="G464" s="37">
        <f>IF(F464="","",IF(ISNA(MATCH(F464,'Item master'!$A$2:$A$301,0)),"Not in Item master",IFERROR(INDEX('Item master'!$B$2:$B$301,MATCH(F464,'Item master'!$A$2:$A$301,0))&amp;"","")))</f>
      </c>
      <c r="H464" s="34"/>
      <c r="I464" s="31"/>
      <c r="J464" s="31"/>
      <c r="K464" s="33"/>
      <c r="L464" s="31"/>
      <c r="M464" s="35"/>
      <c r="N464" s="30"/>
      <c r="O464" s="30"/>
      <c r="P464" s="36"/>
      <c r="Q464" s="38">
        <f>IF(OR(C464&lt;&gt;"loan",E464=""),"",IF(ISNA(MATCH(E464,Units!$A$2:$A$501,0)),"",IF(INDEX(Units!$E$2:$E$501,MATCH(E464,Units!$A$2:$A$501,0))="","",IF(K464="","No due date",IF(INT(K464)&gt;INDEX(Units!$E$2:$E$501,MATCH(E464,Units!$A$2:$A$501,0)),"Past cal date","OK")))))</f>
      </c>
      <c r="R464" s="37">
        <f>IF(A464="Overdue",K464+ROW()/10000000,"")</f>
      </c>
    </row>
    <row r="465">
      <c r="A465" s="38">
        <f>IF(C465="","",IF(B465="","Needs ID",IF(OR(C465="loan",C465="send_out"),IF(COUNTIF($L$2:$L$1001,B465)&gt;0,"Closed",IF(K465="","Open",IF(K465&lt;NOW(),"Overdue","Open"))),IF(C465="return",IF(OR(L465="",COUNTIF($B$2:$B$1001,L465)=0),"No match",IF(OR(M465="worn",M465="damaged"),"Quarantine","Returned")),IF(C465="issue","Issued",IF(C465="transfer","Moved",IF(C465="write_off","Written off",IF(C465="unfilled","Unfilled",""))))))))</f>
      </c>
      <c r="B465" s="31"/>
      <c r="C465" s="35"/>
      <c r="D465" s="33"/>
      <c r="E465" s="31"/>
      <c r="F465" s="31"/>
      <c r="G465" s="37">
        <f>IF(F465="","",IF(ISNA(MATCH(F465,'Item master'!$A$2:$A$301,0)),"Not in Item master",IFERROR(INDEX('Item master'!$B$2:$B$301,MATCH(F465,'Item master'!$A$2:$A$301,0))&amp;"","")))</f>
      </c>
      <c r="H465" s="34"/>
      <c r="I465" s="31"/>
      <c r="J465" s="31"/>
      <c r="K465" s="33"/>
      <c r="L465" s="31"/>
      <c r="M465" s="35"/>
      <c r="N465" s="30"/>
      <c r="O465" s="30"/>
      <c r="P465" s="36"/>
      <c r="Q465" s="38">
        <f>IF(OR(C465&lt;&gt;"loan",E465=""),"",IF(ISNA(MATCH(E465,Units!$A$2:$A$501,0)),"",IF(INDEX(Units!$E$2:$E$501,MATCH(E465,Units!$A$2:$A$501,0))="","",IF(K465="","No due date",IF(INT(K465)&gt;INDEX(Units!$E$2:$E$501,MATCH(E465,Units!$A$2:$A$501,0)),"Past cal date","OK")))))</f>
      </c>
      <c r="R465" s="37">
        <f>IF(A465="Overdue",K465+ROW()/10000000,"")</f>
      </c>
    </row>
    <row r="466">
      <c r="A466" s="38">
        <f>IF(C466="","",IF(B466="","Needs ID",IF(OR(C466="loan",C466="send_out"),IF(COUNTIF($L$2:$L$1001,B466)&gt;0,"Closed",IF(K466="","Open",IF(K466&lt;NOW(),"Overdue","Open"))),IF(C466="return",IF(OR(L466="",COUNTIF($B$2:$B$1001,L466)=0),"No match",IF(OR(M466="worn",M466="damaged"),"Quarantine","Returned")),IF(C466="issue","Issued",IF(C466="transfer","Moved",IF(C466="write_off","Written off",IF(C466="unfilled","Unfilled",""))))))))</f>
      </c>
      <c r="B466" s="31"/>
      <c r="C466" s="35"/>
      <c r="D466" s="33"/>
      <c r="E466" s="31"/>
      <c r="F466" s="31"/>
      <c r="G466" s="37">
        <f>IF(F466="","",IF(ISNA(MATCH(F466,'Item master'!$A$2:$A$301,0)),"Not in Item master",IFERROR(INDEX('Item master'!$B$2:$B$301,MATCH(F466,'Item master'!$A$2:$A$301,0))&amp;"","")))</f>
      </c>
      <c r="H466" s="34"/>
      <c r="I466" s="31"/>
      <c r="J466" s="31"/>
      <c r="K466" s="33"/>
      <c r="L466" s="31"/>
      <c r="M466" s="35"/>
      <c r="N466" s="30"/>
      <c r="O466" s="30"/>
      <c r="P466" s="36"/>
      <c r="Q466" s="38">
        <f>IF(OR(C466&lt;&gt;"loan",E466=""),"",IF(ISNA(MATCH(E466,Units!$A$2:$A$501,0)),"",IF(INDEX(Units!$E$2:$E$501,MATCH(E466,Units!$A$2:$A$501,0))="","",IF(K466="","No due date",IF(INT(K466)&gt;INDEX(Units!$E$2:$E$501,MATCH(E466,Units!$A$2:$A$501,0)),"Past cal date","OK")))))</f>
      </c>
      <c r="R466" s="37">
        <f>IF(A466="Overdue",K466+ROW()/10000000,"")</f>
      </c>
    </row>
    <row r="467">
      <c r="A467" s="38">
        <f>IF(C467="","",IF(B467="","Needs ID",IF(OR(C467="loan",C467="send_out"),IF(COUNTIF($L$2:$L$1001,B467)&gt;0,"Closed",IF(K467="","Open",IF(K467&lt;NOW(),"Overdue","Open"))),IF(C467="return",IF(OR(L467="",COUNTIF($B$2:$B$1001,L467)=0),"No match",IF(OR(M467="worn",M467="damaged"),"Quarantine","Returned")),IF(C467="issue","Issued",IF(C467="transfer","Moved",IF(C467="write_off","Written off",IF(C467="unfilled","Unfilled",""))))))))</f>
      </c>
      <c r="B467" s="31"/>
      <c r="C467" s="35"/>
      <c r="D467" s="33"/>
      <c r="E467" s="31"/>
      <c r="F467" s="31"/>
      <c r="G467" s="37">
        <f>IF(F467="","",IF(ISNA(MATCH(F467,'Item master'!$A$2:$A$301,0)),"Not in Item master",IFERROR(INDEX('Item master'!$B$2:$B$301,MATCH(F467,'Item master'!$A$2:$A$301,0))&amp;"","")))</f>
      </c>
      <c r="H467" s="34"/>
      <c r="I467" s="31"/>
      <c r="J467" s="31"/>
      <c r="K467" s="33"/>
      <c r="L467" s="31"/>
      <c r="M467" s="35"/>
      <c r="N467" s="30"/>
      <c r="O467" s="30"/>
      <c r="P467" s="36"/>
      <c r="Q467" s="38">
        <f>IF(OR(C467&lt;&gt;"loan",E467=""),"",IF(ISNA(MATCH(E467,Units!$A$2:$A$501,0)),"",IF(INDEX(Units!$E$2:$E$501,MATCH(E467,Units!$A$2:$A$501,0))="","",IF(K467="","No due date",IF(INT(K467)&gt;INDEX(Units!$E$2:$E$501,MATCH(E467,Units!$A$2:$A$501,0)),"Past cal date","OK")))))</f>
      </c>
      <c r="R467" s="37">
        <f>IF(A467="Overdue",K467+ROW()/10000000,"")</f>
      </c>
    </row>
    <row r="468">
      <c r="A468" s="38">
        <f>IF(C468="","",IF(B468="","Needs ID",IF(OR(C468="loan",C468="send_out"),IF(COUNTIF($L$2:$L$1001,B468)&gt;0,"Closed",IF(K468="","Open",IF(K468&lt;NOW(),"Overdue","Open"))),IF(C468="return",IF(OR(L468="",COUNTIF($B$2:$B$1001,L468)=0),"No match",IF(OR(M468="worn",M468="damaged"),"Quarantine","Returned")),IF(C468="issue","Issued",IF(C468="transfer","Moved",IF(C468="write_off","Written off",IF(C468="unfilled","Unfilled",""))))))))</f>
      </c>
      <c r="B468" s="31"/>
      <c r="C468" s="35"/>
      <c r="D468" s="33"/>
      <c r="E468" s="31"/>
      <c r="F468" s="31"/>
      <c r="G468" s="37">
        <f>IF(F468="","",IF(ISNA(MATCH(F468,'Item master'!$A$2:$A$301,0)),"Not in Item master",IFERROR(INDEX('Item master'!$B$2:$B$301,MATCH(F468,'Item master'!$A$2:$A$301,0))&amp;"","")))</f>
      </c>
      <c r="H468" s="34"/>
      <c r="I468" s="31"/>
      <c r="J468" s="31"/>
      <c r="K468" s="33"/>
      <c r="L468" s="31"/>
      <c r="M468" s="35"/>
      <c r="N468" s="30"/>
      <c r="O468" s="30"/>
      <c r="P468" s="36"/>
      <c r="Q468" s="38">
        <f>IF(OR(C468&lt;&gt;"loan",E468=""),"",IF(ISNA(MATCH(E468,Units!$A$2:$A$501,0)),"",IF(INDEX(Units!$E$2:$E$501,MATCH(E468,Units!$A$2:$A$501,0))="","",IF(K468="","No due date",IF(INT(K468)&gt;INDEX(Units!$E$2:$E$501,MATCH(E468,Units!$A$2:$A$501,0)),"Past cal date","OK")))))</f>
      </c>
      <c r="R468" s="37">
        <f>IF(A468="Overdue",K468+ROW()/10000000,"")</f>
      </c>
    </row>
    <row r="469">
      <c r="A469" s="38">
        <f>IF(C469="","",IF(B469="","Needs ID",IF(OR(C469="loan",C469="send_out"),IF(COUNTIF($L$2:$L$1001,B469)&gt;0,"Closed",IF(K469="","Open",IF(K469&lt;NOW(),"Overdue","Open"))),IF(C469="return",IF(OR(L469="",COUNTIF($B$2:$B$1001,L469)=0),"No match",IF(OR(M469="worn",M469="damaged"),"Quarantine","Returned")),IF(C469="issue","Issued",IF(C469="transfer","Moved",IF(C469="write_off","Written off",IF(C469="unfilled","Unfilled",""))))))))</f>
      </c>
      <c r="B469" s="31"/>
      <c r="C469" s="35"/>
      <c r="D469" s="33"/>
      <c r="E469" s="31"/>
      <c r="F469" s="31"/>
      <c r="G469" s="37">
        <f>IF(F469="","",IF(ISNA(MATCH(F469,'Item master'!$A$2:$A$301,0)),"Not in Item master",IFERROR(INDEX('Item master'!$B$2:$B$301,MATCH(F469,'Item master'!$A$2:$A$301,0))&amp;"","")))</f>
      </c>
      <c r="H469" s="34"/>
      <c r="I469" s="31"/>
      <c r="J469" s="31"/>
      <c r="K469" s="33"/>
      <c r="L469" s="31"/>
      <c r="M469" s="35"/>
      <c r="N469" s="30"/>
      <c r="O469" s="30"/>
      <c r="P469" s="36"/>
      <c r="Q469" s="38">
        <f>IF(OR(C469&lt;&gt;"loan",E469=""),"",IF(ISNA(MATCH(E469,Units!$A$2:$A$501,0)),"",IF(INDEX(Units!$E$2:$E$501,MATCH(E469,Units!$A$2:$A$501,0))="","",IF(K469="","No due date",IF(INT(K469)&gt;INDEX(Units!$E$2:$E$501,MATCH(E469,Units!$A$2:$A$501,0)),"Past cal date","OK")))))</f>
      </c>
      <c r="R469" s="37">
        <f>IF(A469="Overdue",K469+ROW()/10000000,"")</f>
      </c>
    </row>
    <row r="470">
      <c r="A470" s="38">
        <f>IF(C470="","",IF(B470="","Needs ID",IF(OR(C470="loan",C470="send_out"),IF(COUNTIF($L$2:$L$1001,B470)&gt;0,"Closed",IF(K470="","Open",IF(K470&lt;NOW(),"Overdue","Open"))),IF(C470="return",IF(OR(L470="",COUNTIF($B$2:$B$1001,L470)=0),"No match",IF(OR(M470="worn",M470="damaged"),"Quarantine","Returned")),IF(C470="issue","Issued",IF(C470="transfer","Moved",IF(C470="write_off","Written off",IF(C470="unfilled","Unfilled",""))))))))</f>
      </c>
      <c r="B470" s="31"/>
      <c r="C470" s="35"/>
      <c r="D470" s="33"/>
      <c r="E470" s="31"/>
      <c r="F470" s="31"/>
      <c r="G470" s="37">
        <f>IF(F470="","",IF(ISNA(MATCH(F470,'Item master'!$A$2:$A$301,0)),"Not in Item master",IFERROR(INDEX('Item master'!$B$2:$B$301,MATCH(F470,'Item master'!$A$2:$A$301,0))&amp;"","")))</f>
      </c>
      <c r="H470" s="34"/>
      <c r="I470" s="31"/>
      <c r="J470" s="31"/>
      <c r="K470" s="33"/>
      <c r="L470" s="31"/>
      <c r="M470" s="35"/>
      <c r="N470" s="30"/>
      <c r="O470" s="30"/>
      <c r="P470" s="36"/>
      <c r="Q470" s="38">
        <f>IF(OR(C470&lt;&gt;"loan",E470=""),"",IF(ISNA(MATCH(E470,Units!$A$2:$A$501,0)),"",IF(INDEX(Units!$E$2:$E$501,MATCH(E470,Units!$A$2:$A$501,0))="","",IF(K470="","No due date",IF(INT(K470)&gt;INDEX(Units!$E$2:$E$501,MATCH(E470,Units!$A$2:$A$501,0)),"Past cal date","OK")))))</f>
      </c>
      <c r="R470" s="37">
        <f>IF(A470="Overdue",K470+ROW()/10000000,"")</f>
      </c>
    </row>
    <row r="471">
      <c r="A471" s="38">
        <f>IF(C471="","",IF(B471="","Needs ID",IF(OR(C471="loan",C471="send_out"),IF(COUNTIF($L$2:$L$1001,B471)&gt;0,"Closed",IF(K471="","Open",IF(K471&lt;NOW(),"Overdue","Open"))),IF(C471="return",IF(OR(L471="",COUNTIF($B$2:$B$1001,L471)=0),"No match",IF(OR(M471="worn",M471="damaged"),"Quarantine","Returned")),IF(C471="issue","Issued",IF(C471="transfer","Moved",IF(C471="write_off","Written off",IF(C471="unfilled","Unfilled",""))))))))</f>
      </c>
      <c r="B471" s="31"/>
      <c r="C471" s="35"/>
      <c r="D471" s="33"/>
      <c r="E471" s="31"/>
      <c r="F471" s="31"/>
      <c r="G471" s="37">
        <f>IF(F471="","",IF(ISNA(MATCH(F471,'Item master'!$A$2:$A$301,0)),"Not in Item master",IFERROR(INDEX('Item master'!$B$2:$B$301,MATCH(F471,'Item master'!$A$2:$A$301,0))&amp;"","")))</f>
      </c>
      <c r="H471" s="34"/>
      <c r="I471" s="31"/>
      <c r="J471" s="31"/>
      <c r="K471" s="33"/>
      <c r="L471" s="31"/>
      <c r="M471" s="35"/>
      <c r="N471" s="30"/>
      <c r="O471" s="30"/>
      <c r="P471" s="36"/>
      <c r="Q471" s="38">
        <f>IF(OR(C471&lt;&gt;"loan",E471=""),"",IF(ISNA(MATCH(E471,Units!$A$2:$A$501,0)),"",IF(INDEX(Units!$E$2:$E$501,MATCH(E471,Units!$A$2:$A$501,0))="","",IF(K471="","No due date",IF(INT(K471)&gt;INDEX(Units!$E$2:$E$501,MATCH(E471,Units!$A$2:$A$501,0)),"Past cal date","OK")))))</f>
      </c>
      <c r="R471" s="37">
        <f>IF(A471="Overdue",K471+ROW()/10000000,"")</f>
      </c>
    </row>
    <row r="472">
      <c r="A472" s="38">
        <f>IF(C472="","",IF(B472="","Needs ID",IF(OR(C472="loan",C472="send_out"),IF(COUNTIF($L$2:$L$1001,B472)&gt;0,"Closed",IF(K472="","Open",IF(K472&lt;NOW(),"Overdue","Open"))),IF(C472="return",IF(OR(L472="",COUNTIF($B$2:$B$1001,L472)=0),"No match",IF(OR(M472="worn",M472="damaged"),"Quarantine","Returned")),IF(C472="issue","Issued",IF(C472="transfer","Moved",IF(C472="write_off","Written off",IF(C472="unfilled","Unfilled",""))))))))</f>
      </c>
      <c r="B472" s="31"/>
      <c r="C472" s="35"/>
      <c r="D472" s="33"/>
      <c r="E472" s="31"/>
      <c r="F472" s="31"/>
      <c r="G472" s="37">
        <f>IF(F472="","",IF(ISNA(MATCH(F472,'Item master'!$A$2:$A$301,0)),"Not in Item master",IFERROR(INDEX('Item master'!$B$2:$B$301,MATCH(F472,'Item master'!$A$2:$A$301,0))&amp;"","")))</f>
      </c>
      <c r="H472" s="34"/>
      <c r="I472" s="31"/>
      <c r="J472" s="31"/>
      <c r="K472" s="33"/>
      <c r="L472" s="31"/>
      <c r="M472" s="35"/>
      <c r="N472" s="30"/>
      <c r="O472" s="30"/>
      <c r="P472" s="36"/>
      <c r="Q472" s="38">
        <f>IF(OR(C472&lt;&gt;"loan",E472=""),"",IF(ISNA(MATCH(E472,Units!$A$2:$A$501,0)),"",IF(INDEX(Units!$E$2:$E$501,MATCH(E472,Units!$A$2:$A$501,0))="","",IF(K472="","No due date",IF(INT(K472)&gt;INDEX(Units!$E$2:$E$501,MATCH(E472,Units!$A$2:$A$501,0)),"Past cal date","OK")))))</f>
      </c>
      <c r="R472" s="37">
        <f>IF(A472="Overdue",K472+ROW()/10000000,"")</f>
      </c>
    </row>
    <row r="473">
      <c r="A473" s="38">
        <f>IF(C473="","",IF(B473="","Needs ID",IF(OR(C473="loan",C473="send_out"),IF(COUNTIF($L$2:$L$1001,B473)&gt;0,"Closed",IF(K473="","Open",IF(K473&lt;NOW(),"Overdue","Open"))),IF(C473="return",IF(OR(L473="",COUNTIF($B$2:$B$1001,L473)=0),"No match",IF(OR(M473="worn",M473="damaged"),"Quarantine","Returned")),IF(C473="issue","Issued",IF(C473="transfer","Moved",IF(C473="write_off","Written off",IF(C473="unfilled","Unfilled",""))))))))</f>
      </c>
      <c r="B473" s="31"/>
      <c r="C473" s="35"/>
      <c r="D473" s="33"/>
      <c r="E473" s="31"/>
      <c r="F473" s="31"/>
      <c r="G473" s="37">
        <f>IF(F473="","",IF(ISNA(MATCH(F473,'Item master'!$A$2:$A$301,0)),"Not in Item master",IFERROR(INDEX('Item master'!$B$2:$B$301,MATCH(F473,'Item master'!$A$2:$A$301,0))&amp;"","")))</f>
      </c>
      <c r="H473" s="34"/>
      <c r="I473" s="31"/>
      <c r="J473" s="31"/>
      <c r="K473" s="33"/>
      <c r="L473" s="31"/>
      <c r="M473" s="35"/>
      <c r="N473" s="30"/>
      <c r="O473" s="30"/>
      <c r="P473" s="36"/>
      <c r="Q473" s="38">
        <f>IF(OR(C473&lt;&gt;"loan",E473=""),"",IF(ISNA(MATCH(E473,Units!$A$2:$A$501,0)),"",IF(INDEX(Units!$E$2:$E$501,MATCH(E473,Units!$A$2:$A$501,0))="","",IF(K473="","No due date",IF(INT(K473)&gt;INDEX(Units!$E$2:$E$501,MATCH(E473,Units!$A$2:$A$501,0)),"Past cal date","OK")))))</f>
      </c>
      <c r="R473" s="37">
        <f>IF(A473="Overdue",K473+ROW()/10000000,"")</f>
      </c>
    </row>
    <row r="474">
      <c r="A474" s="38">
        <f>IF(C474="","",IF(B474="","Needs ID",IF(OR(C474="loan",C474="send_out"),IF(COUNTIF($L$2:$L$1001,B474)&gt;0,"Closed",IF(K474="","Open",IF(K474&lt;NOW(),"Overdue","Open"))),IF(C474="return",IF(OR(L474="",COUNTIF($B$2:$B$1001,L474)=0),"No match",IF(OR(M474="worn",M474="damaged"),"Quarantine","Returned")),IF(C474="issue","Issued",IF(C474="transfer","Moved",IF(C474="write_off","Written off",IF(C474="unfilled","Unfilled",""))))))))</f>
      </c>
      <c r="B474" s="31"/>
      <c r="C474" s="35"/>
      <c r="D474" s="33"/>
      <c r="E474" s="31"/>
      <c r="F474" s="31"/>
      <c r="G474" s="37">
        <f>IF(F474="","",IF(ISNA(MATCH(F474,'Item master'!$A$2:$A$301,0)),"Not in Item master",IFERROR(INDEX('Item master'!$B$2:$B$301,MATCH(F474,'Item master'!$A$2:$A$301,0))&amp;"","")))</f>
      </c>
      <c r="H474" s="34"/>
      <c r="I474" s="31"/>
      <c r="J474" s="31"/>
      <c r="K474" s="33"/>
      <c r="L474" s="31"/>
      <c r="M474" s="35"/>
      <c r="N474" s="30"/>
      <c r="O474" s="30"/>
      <c r="P474" s="36"/>
      <c r="Q474" s="38">
        <f>IF(OR(C474&lt;&gt;"loan",E474=""),"",IF(ISNA(MATCH(E474,Units!$A$2:$A$501,0)),"",IF(INDEX(Units!$E$2:$E$501,MATCH(E474,Units!$A$2:$A$501,0))="","",IF(K474="","No due date",IF(INT(K474)&gt;INDEX(Units!$E$2:$E$501,MATCH(E474,Units!$A$2:$A$501,0)),"Past cal date","OK")))))</f>
      </c>
      <c r="R474" s="37">
        <f>IF(A474="Overdue",K474+ROW()/10000000,"")</f>
      </c>
    </row>
    <row r="475">
      <c r="A475" s="38">
        <f>IF(C475="","",IF(B475="","Needs ID",IF(OR(C475="loan",C475="send_out"),IF(COUNTIF($L$2:$L$1001,B475)&gt;0,"Closed",IF(K475="","Open",IF(K475&lt;NOW(),"Overdue","Open"))),IF(C475="return",IF(OR(L475="",COUNTIF($B$2:$B$1001,L475)=0),"No match",IF(OR(M475="worn",M475="damaged"),"Quarantine","Returned")),IF(C475="issue","Issued",IF(C475="transfer","Moved",IF(C475="write_off","Written off",IF(C475="unfilled","Unfilled",""))))))))</f>
      </c>
      <c r="B475" s="31"/>
      <c r="C475" s="35"/>
      <c r="D475" s="33"/>
      <c r="E475" s="31"/>
      <c r="F475" s="31"/>
      <c r="G475" s="37">
        <f>IF(F475="","",IF(ISNA(MATCH(F475,'Item master'!$A$2:$A$301,0)),"Not in Item master",IFERROR(INDEX('Item master'!$B$2:$B$301,MATCH(F475,'Item master'!$A$2:$A$301,0))&amp;"","")))</f>
      </c>
      <c r="H475" s="34"/>
      <c r="I475" s="31"/>
      <c r="J475" s="31"/>
      <c r="K475" s="33"/>
      <c r="L475" s="31"/>
      <c r="M475" s="35"/>
      <c r="N475" s="30"/>
      <c r="O475" s="30"/>
      <c r="P475" s="36"/>
      <c r="Q475" s="38">
        <f>IF(OR(C475&lt;&gt;"loan",E475=""),"",IF(ISNA(MATCH(E475,Units!$A$2:$A$501,0)),"",IF(INDEX(Units!$E$2:$E$501,MATCH(E475,Units!$A$2:$A$501,0))="","",IF(K475="","No due date",IF(INT(K475)&gt;INDEX(Units!$E$2:$E$501,MATCH(E475,Units!$A$2:$A$501,0)),"Past cal date","OK")))))</f>
      </c>
      <c r="R475" s="37">
        <f>IF(A475="Overdue",K475+ROW()/10000000,"")</f>
      </c>
    </row>
    <row r="476">
      <c r="A476" s="38">
        <f>IF(C476="","",IF(B476="","Needs ID",IF(OR(C476="loan",C476="send_out"),IF(COUNTIF($L$2:$L$1001,B476)&gt;0,"Closed",IF(K476="","Open",IF(K476&lt;NOW(),"Overdue","Open"))),IF(C476="return",IF(OR(L476="",COUNTIF($B$2:$B$1001,L476)=0),"No match",IF(OR(M476="worn",M476="damaged"),"Quarantine","Returned")),IF(C476="issue","Issued",IF(C476="transfer","Moved",IF(C476="write_off","Written off",IF(C476="unfilled","Unfilled",""))))))))</f>
      </c>
      <c r="B476" s="31"/>
      <c r="C476" s="35"/>
      <c r="D476" s="33"/>
      <c r="E476" s="31"/>
      <c r="F476" s="31"/>
      <c r="G476" s="37">
        <f>IF(F476="","",IF(ISNA(MATCH(F476,'Item master'!$A$2:$A$301,0)),"Not in Item master",IFERROR(INDEX('Item master'!$B$2:$B$301,MATCH(F476,'Item master'!$A$2:$A$301,0))&amp;"","")))</f>
      </c>
      <c r="H476" s="34"/>
      <c r="I476" s="31"/>
      <c r="J476" s="31"/>
      <c r="K476" s="33"/>
      <c r="L476" s="31"/>
      <c r="M476" s="35"/>
      <c r="N476" s="30"/>
      <c r="O476" s="30"/>
      <c r="P476" s="36"/>
      <c r="Q476" s="38">
        <f>IF(OR(C476&lt;&gt;"loan",E476=""),"",IF(ISNA(MATCH(E476,Units!$A$2:$A$501,0)),"",IF(INDEX(Units!$E$2:$E$501,MATCH(E476,Units!$A$2:$A$501,0))="","",IF(K476="","No due date",IF(INT(K476)&gt;INDEX(Units!$E$2:$E$501,MATCH(E476,Units!$A$2:$A$501,0)),"Past cal date","OK")))))</f>
      </c>
      <c r="R476" s="37">
        <f>IF(A476="Overdue",K476+ROW()/10000000,"")</f>
      </c>
    </row>
    <row r="477">
      <c r="A477" s="38">
        <f>IF(C477="","",IF(B477="","Needs ID",IF(OR(C477="loan",C477="send_out"),IF(COUNTIF($L$2:$L$1001,B477)&gt;0,"Closed",IF(K477="","Open",IF(K477&lt;NOW(),"Overdue","Open"))),IF(C477="return",IF(OR(L477="",COUNTIF($B$2:$B$1001,L477)=0),"No match",IF(OR(M477="worn",M477="damaged"),"Quarantine","Returned")),IF(C477="issue","Issued",IF(C477="transfer","Moved",IF(C477="write_off","Written off",IF(C477="unfilled","Unfilled",""))))))))</f>
      </c>
      <c r="B477" s="31"/>
      <c r="C477" s="35"/>
      <c r="D477" s="33"/>
      <c r="E477" s="31"/>
      <c r="F477" s="31"/>
      <c r="G477" s="37">
        <f>IF(F477="","",IF(ISNA(MATCH(F477,'Item master'!$A$2:$A$301,0)),"Not in Item master",IFERROR(INDEX('Item master'!$B$2:$B$301,MATCH(F477,'Item master'!$A$2:$A$301,0))&amp;"","")))</f>
      </c>
      <c r="H477" s="34"/>
      <c r="I477" s="31"/>
      <c r="J477" s="31"/>
      <c r="K477" s="33"/>
      <c r="L477" s="31"/>
      <c r="M477" s="35"/>
      <c r="N477" s="30"/>
      <c r="O477" s="30"/>
      <c r="P477" s="36"/>
      <c r="Q477" s="38">
        <f>IF(OR(C477&lt;&gt;"loan",E477=""),"",IF(ISNA(MATCH(E477,Units!$A$2:$A$501,0)),"",IF(INDEX(Units!$E$2:$E$501,MATCH(E477,Units!$A$2:$A$501,0))="","",IF(K477="","No due date",IF(INT(K477)&gt;INDEX(Units!$E$2:$E$501,MATCH(E477,Units!$A$2:$A$501,0)),"Past cal date","OK")))))</f>
      </c>
      <c r="R477" s="37">
        <f>IF(A477="Overdue",K477+ROW()/10000000,"")</f>
      </c>
    </row>
    <row r="478">
      <c r="A478" s="38">
        <f>IF(C478="","",IF(B478="","Needs ID",IF(OR(C478="loan",C478="send_out"),IF(COUNTIF($L$2:$L$1001,B478)&gt;0,"Closed",IF(K478="","Open",IF(K478&lt;NOW(),"Overdue","Open"))),IF(C478="return",IF(OR(L478="",COUNTIF($B$2:$B$1001,L478)=0),"No match",IF(OR(M478="worn",M478="damaged"),"Quarantine","Returned")),IF(C478="issue","Issued",IF(C478="transfer","Moved",IF(C478="write_off","Written off",IF(C478="unfilled","Unfilled",""))))))))</f>
      </c>
      <c r="B478" s="31"/>
      <c r="C478" s="35"/>
      <c r="D478" s="33"/>
      <c r="E478" s="31"/>
      <c r="F478" s="31"/>
      <c r="G478" s="37">
        <f>IF(F478="","",IF(ISNA(MATCH(F478,'Item master'!$A$2:$A$301,0)),"Not in Item master",IFERROR(INDEX('Item master'!$B$2:$B$301,MATCH(F478,'Item master'!$A$2:$A$301,0))&amp;"","")))</f>
      </c>
      <c r="H478" s="34"/>
      <c r="I478" s="31"/>
      <c r="J478" s="31"/>
      <c r="K478" s="33"/>
      <c r="L478" s="31"/>
      <c r="M478" s="35"/>
      <c r="N478" s="30"/>
      <c r="O478" s="30"/>
      <c r="P478" s="36"/>
      <c r="Q478" s="38">
        <f>IF(OR(C478&lt;&gt;"loan",E478=""),"",IF(ISNA(MATCH(E478,Units!$A$2:$A$501,0)),"",IF(INDEX(Units!$E$2:$E$501,MATCH(E478,Units!$A$2:$A$501,0))="","",IF(K478="","No due date",IF(INT(K478)&gt;INDEX(Units!$E$2:$E$501,MATCH(E478,Units!$A$2:$A$501,0)),"Past cal date","OK")))))</f>
      </c>
      <c r="R478" s="37">
        <f>IF(A478="Overdue",K478+ROW()/10000000,"")</f>
      </c>
    </row>
    <row r="479">
      <c r="A479" s="38">
        <f>IF(C479="","",IF(B479="","Needs ID",IF(OR(C479="loan",C479="send_out"),IF(COUNTIF($L$2:$L$1001,B479)&gt;0,"Closed",IF(K479="","Open",IF(K479&lt;NOW(),"Overdue","Open"))),IF(C479="return",IF(OR(L479="",COUNTIF($B$2:$B$1001,L479)=0),"No match",IF(OR(M479="worn",M479="damaged"),"Quarantine","Returned")),IF(C479="issue","Issued",IF(C479="transfer","Moved",IF(C479="write_off","Written off",IF(C479="unfilled","Unfilled",""))))))))</f>
      </c>
      <c r="B479" s="31"/>
      <c r="C479" s="35"/>
      <c r="D479" s="33"/>
      <c r="E479" s="31"/>
      <c r="F479" s="31"/>
      <c r="G479" s="37">
        <f>IF(F479="","",IF(ISNA(MATCH(F479,'Item master'!$A$2:$A$301,0)),"Not in Item master",IFERROR(INDEX('Item master'!$B$2:$B$301,MATCH(F479,'Item master'!$A$2:$A$301,0))&amp;"","")))</f>
      </c>
      <c r="H479" s="34"/>
      <c r="I479" s="31"/>
      <c r="J479" s="31"/>
      <c r="K479" s="33"/>
      <c r="L479" s="31"/>
      <c r="M479" s="35"/>
      <c r="N479" s="30"/>
      <c r="O479" s="30"/>
      <c r="P479" s="36"/>
      <c r="Q479" s="38">
        <f>IF(OR(C479&lt;&gt;"loan",E479=""),"",IF(ISNA(MATCH(E479,Units!$A$2:$A$501,0)),"",IF(INDEX(Units!$E$2:$E$501,MATCH(E479,Units!$A$2:$A$501,0))="","",IF(K479="","No due date",IF(INT(K479)&gt;INDEX(Units!$E$2:$E$501,MATCH(E479,Units!$A$2:$A$501,0)),"Past cal date","OK")))))</f>
      </c>
      <c r="R479" s="37">
        <f>IF(A479="Overdue",K479+ROW()/10000000,"")</f>
      </c>
    </row>
    <row r="480">
      <c r="A480" s="38">
        <f>IF(C480="","",IF(B480="","Needs ID",IF(OR(C480="loan",C480="send_out"),IF(COUNTIF($L$2:$L$1001,B480)&gt;0,"Closed",IF(K480="","Open",IF(K480&lt;NOW(),"Overdue","Open"))),IF(C480="return",IF(OR(L480="",COUNTIF($B$2:$B$1001,L480)=0),"No match",IF(OR(M480="worn",M480="damaged"),"Quarantine","Returned")),IF(C480="issue","Issued",IF(C480="transfer","Moved",IF(C480="write_off","Written off",IF(C480="unfilled","Unfilled",""))))))))</f>
      </c>
      <c r="B480" s="31"/>
      <c r="C480" s="35"/>
      <c r="D480" s="33"/>
      <c r="E480" s="31"/>
      <c r="F480" s="31"/>
      <c r="G480" s="37">
        <f>IF(F480="","",IF(ISNA(MATCH(F480,'Item master'!$A$2:$A$301,0)),"Not in Item master",IFERROR(INDEX('Item master'!$B$2:$B$301,MATCH(F480,'Item master'!$A$2:$A$301,0))&amp;"","")))</f>
      </c>
      <c r="H480" s="34"/>
      <c r="I480" s="31"/>
      <c r="J480" s="31"/>
      <c r="K480" s="33"/>
      <c r="L480" s="31"/>
      <c r="M480" s="35"/>
      <c r="N480" s="30"/>
      <c r="O480" s="30"/>
      <c r="P480" s="36"/>
      <c r="Q480" s="38">
        <f>IF(OR(C480&lt;&gt;"loan",E480=""),"",IF(ISNA(MATCH(E480,Units!$A$2:$A$501,0)),"",IF(INDEX(Units!$E$2:$E$501,MATCH(E480,Units!$A$2:$A$501,0))="","",IF(K480="","No due date",IF(INT(K480)&gt;INDEX(Units!$E$2:$E$501,MATCH(E480,Units!$A$2:$A$501,0)),"Past cal date","OK")))))</f>
      </c>
      <c r="R480" s="37">
        <f>IF(A480="Overdue",K480+ROW()/10000000,"")</f>
      </c>
    </row>
    <row r="481">
      <c r="A481" s="38">
        <f>IF(C481="","",IF(B481="","Needs ID",IF(OR(C481="loan",C481="send_out"),IF(COUNTIF($L$2:$L$1001,B481)&gt;0,"Closed",IF(K481="","Open",IF(K481&lt;NOW(),"Overdue","Open"))),IF(C481="return",IF(OR(L481="",COUNTIF($B$2:$B$1001,L481)=0),"No match",IF(OR(M481="worn",M481="damaged"),"Quarantine","Returned")),IF(C481="issue","Issued",IF(C481="transfer","Moved",IF(C481="write_off","Written off",IF(C481="unfilled","Unfilled",""))))))))</f>
      </c>
      <c r="B481" s="31"/>
      <c r="C481" s="35"/>
      <c r="D481" s="33"/>
      <c r="E481" s="31"/>
      <c r="F481" s="31"/>
      <c r="G481" s="37">
        <f>IF(F481="","",IF(ISNA(MATCH(F481,'Item master'!$A$2:$A$301,0)),"Not in Item master",IFERROR(INDEX('Item master'!$B$2:$B$301,MATCH(F481,'Item master'!$A$2:$A$301,0))&amp;"","")))</f>
      </c>
      <c r="H481" s="34"/>
      <c r="I481" s="31"/>
      <c r="J481" s="31"/>
      <c r="K481" s="33"/>
      <c r="L481" s="31"/>
      <c r="M481" s="35"/>
      <c r="N481" s="30"/>
      <c r="O481" s="30"/>
      <c r="P481" s="36"/>
      <c r="Q481" s="38">
        <f>IF(OR(C481&lt;&gt;"loan",E481=""),"",IF(ISNA(MATCH(E481,Units!$A$2:$A$501,0)),"",IF(INDEX(Units!$E$2:$E$501,MATCH(E481,Units!$A$2:$A$501,0))="","",IF(K481="","No due date",IF(INT(K481)&gt;INDEX(Units!$E$2:$E$501,MATCH(E481,Units!$A$2:$A$501,0)),"Past cal date","OK")))))</f>
      </c>
      <c r="R481" s="37">
        <f>IF(A481="Overdue",K481+ROW()/10000000,"")</f>
      </c>
    </row>
    <row r="482">
      <c r="A482" s="38">
        <f>IF(C482="","",IF(B482="","Needs ID",IF(OR(C482="loan",C482="send_out"),IF(COUNTIF($L$2:$L$1001,B482)&gt;0,"Closed",IF(K482="","Open",IF(K482&lt;NOW(),"Overdue","Open"))),IF(C482="return",IF(OR(L482="",COUNTIF($B$2:$B$1001,L482)=0),"No match",IF(OR(M482="worn",M482="damaged"),"Quarantine","Returned")),IF(C482="issue","Issued",IF(C482="transfer","Moved",IF(C482="write_off","Written off",IF(C482="unfilled","Unfilled",""))))))))</f>
      </c>
      <c r="B482" s="31"/>
      <c r="C482" s="35"/>
      <c r="D482" s="33"/>
      <c r="E482" s="31"/>
      <c r="F482" s="31"/>
      <c r="G482" s="37">
        <f>IF(F482="","",IF(ISNA(MATCH(F482,'Item master'!$A$2:$A$301,0)),"Not in Item master",IFERROR(INDEX('Item master'!$B$2:$B$301,MATCH(F482,'Item master'!$A$2:$A$301,0))&amp;"","")))</f>
      </c>
      <c r="H482" s="34"/>
      <c r="I482" s="31"/>
      <c r="J482" s="31"/>
      <c r="K482" s="33"/>
      <c r="L482" s="31"/>
      <c r="M482" s="35"/>
      <c r="N482" s="30"/>
      <c r="O482" s="30"/>
      <c r="P482" s="36"/>
      <c r="Q482" s="38">
        <f>IF(OR(C482&lt;&gt;"loan",E482=""),"",IF(ISNA(MATCH(E482,Units!$A$2:$A$501,0)),"",IF(INDEX(Units!$E$2:$E$501,MATCH(E482,Units!$A$2:$A$501,0))="","",IF(K482="","No due date",IF(INT(K482)&gt;INDEX(Units!$E$2:$E$501,MATCH(E482,Units!$A$2:$A$501,0)),"Past cal date","OK")))))</f>
      </c>
      <c r="R482" s="37">
        <f>IF(A482="Overdue",K482+ROW()/10000000,"")</f>
      </c>
    </row>
    <row r="483">
      <c r="A483" s="38">
        <f>IF(C483="","",IF(B483="","Needs ID",IF(OR(C483="loan",C483="send_out"),IF(COUNTIF($L$2:$L$1001,B483)&gt;0,"Closed",IF(K483="","Open",IF(K483&lt;NOW(),"Overdue","Open"))),IF(C483="return",IF(OR(L483="",COUNTIF($B$2:$B$1001,L483)=0),"No match",IF(OR(M483="worn",M483="damaged"),"Quarantine","Returned")),IF(C483="issue","Issued",IF(C483="transfer","Moved",IF(C483="write_off","Written off",IF(C483="unfilled","Unfilled",""))))))))</f>
      </c>
      <c r="B483" s="31"/>
      <c r="C483" s="35"/>
      <c r="D483" s="33"/>
      <c r="E483" s="31"/>
      <c r="F483" s="31"/>
      <c r="G483" s="37">
        <f>IF(F483="","",IF(ISNA(MATCH(F483,'Item master'!$A$2:$A$301,0)),"Not in Item master",IFERROR(INDEX('Item master'!$B$2:$B$301,MATCH(F483,'Item master'!$A$2:$A$301,0))&amp;"","")))</f>
      </c>
      <c r="H483" s="34"/>
      <c r="I483" s="31"/>
      <c r="J483" s="31"/>
      <c r="K483" s="33"/>
      <c r="L483" s="31"/>
      <c r="M483" s="35"/>
      <c r="N483" s="30"/>
      <c r="O483" s="30"/>
      <c r="P483" s="36"/>
      <c r="Q483" s="38">
        <f>IF(OR(C483&lt;&gt;"loan",E483=""),"",IF(ISNA(MATCH(E483,Units!$A$2:$A$501,0)),"",IF(INDEX(Units!$E$2:$E$501,MATCH(E483,Units!$A$2:$A$501,0))="","",IF(K483="","No due date",IF(INT(K483)&gt;INDEX(Units!$E$2:$E$501,MATCH(E483,Units!$A$2:$A$501,0)),"Past cal date","OK")))))</f>
      </c>
      <c r="R483" s="37">
        <f>IF(A483="Overdue",K483+ROW()/10000000,"")</f>
      </c>
    </row>
    <row r="484">
      <c r="A484" s="38">
        <f>IF(C484="","",IF(B484="","Needs ID",IF(OR(C484="loan",C484="send_out"),IF(COUNTIF($L$2:$L$1001,B484)&gt;0,"Closed",IF(K484="","Open",IF(K484&lt;NOW(),"Overdue","Open"))),IF(C484="return",IF(OR(L484="",COUNTIF($B$2:$B$1001,L484)=0),"No match",IF(OR(M484="worn",M484="damaged"),"Quarantine","Returned")),IF(C484="issue","Issued",IF(C484="transfer","Moved",IF(C484="write_off","Written off",IF(C484="unfilled","Unfilled",""))))))))</f>
      </c>
      <c r="B484" s="31"/>
      <c r="C484" s="35"/>
      <c r="D484" s="33"/>
      <c r="E484" s="31"/>
      <c r="F484" s="31"/>
      <c r="G484" s="37">
        <f>IF(F484="","",IF(ISNA(MATCH(F484,'Item master'!$A$2:$A$301,0)),"Not in Item master",IFERROR(INDEX('Item master'!$B$2:$B$301,MATCH(F484,'Item master'!$A$2:$A$301,0))&amp;"","")))</f>
      </c>
      <c r="H484" s="34"/>
      <c r="I484" s="31"/>
      <c r="J484" s="31"/>
      <c r="K484" s="33"/>
      <c r="L484" s="31"/>
      <c r="M484" s="35"/>
      <c r="N484" s="30"/>
      <c r="O484" s="30"/>
      <c r="P484" s="36"/>
      <c r="Q484" s="38">
        <f>IF(OR(C484&lt;&gt;"loan",E484=""),"",IF(ISNA(MATCH(E484,Units!$A$2:$A$501,0)),"",IF(INDEX(Units!$E$2:$E$501,MATCH(E484,Units!$A$2:$A$501,0))="","",IF(K484="","No due date",IF(INT(K484)&gt;INDEX(Units!$E$2:$E$501,MATCH(E484,Units!$A$2:$A$501,0)),"Past cal date","OK")))))</f>
      </c>
      <c r="R484" s="37">
        <f>IF(A484="Overdue",K484+ROW()/10000000,"")</f>
      </c>
    </row>
    <row r="485">
      <c r="A485" s="38">
        <f>IF(C485="","",IF(B485="","Needs ID",IF(OR(C485="loan",C485="send_out"),IF(COUNTIF($L$2:$L$1001,B485)&gt;0,"Closed",IF(K485="","Open",IF(K485&lt;NOW(),"Overdue","Open"))),IF(C485="return",IF(OR(L485="",COUNTIF($B$2:$B$1001,L485)=0),"No match",IF(OR(M485="worn",M485="damaged"),"Quarantine","Returned")),IF(C485="issue","Issued",IF(C485="transfer","Moved",IF(C485="write_off","Written off",IF(C485="unfilled","Unfilled",""))))))))</f>
      </c>
      <c r="B485" s="31"/>
      <c r="C485" s="35"/>
      <c r="D485" s="33"/>
      <c r="E485" s="31"/>
      <c r="F485" s="31"/>
      <c r="G485" s="37">
        <f>IF(F485="","",IF(ISNA(MATCH(F485,'Item master'!$A$2:$A$301,0)),"Not in Item master",IFERROR(INDEX('Item master'!$B$2:$B$301,MATCH(F485,'Item master'!$A$2:$A$301,0))&amp;"","")))</f>
      </c>
      <c r="H485" s="34"/>
      <c r="I485" s="31"/>
      <c r="J485" s="31"/>
      <c r="K485" s="33"/>
      <c r="L485" s="31"/>
      <c r="M485" s="35"/>
      <c r="N485" s="30"/>
      <c r="O485" s="30"/>
      <c r="P485" s="36"/>
      <c r="Q485" s="38">
        <f>IF(OR(C485&lt;&gt;"loan",E485=""),"",IF(ISNA(MATCH(E485,Units!$A$2:$A$501,0)),"",IF(INDEX(Units!$E$2:$E$501,MATCH(E485,Units!$A$2:$A$501,0))="","",IF(K485="","No due date",IF(INT(K485)&gt;INDEX(Units!$E$2:$E$501,MATCH(E485,Units!$A$2:$A$501,0)),"Past cal date","OK")))))</f>
      </c>
      <c r="R485" s="37">
        <f>IF(A485="Overdue",K485+ROW()/10000000,"")</f>
      </c>
    </row>
    <row r="486">
      <c r="A486" s="38">
        <f>IF(C486="","",IF(B486="","Needs ID",IF(OR(C486="loan",C486="send_out"),IF(COUNTIF($L$2:$L$1001,B486)&gt;0,"Closed",IF(K486="","Open",IF(K486&lt;NOW(),"Overdue","Open"))),IF(C486="return",IF(OR(L486="",COUNTIF($B$2:$B$1001,L486)=0),"No match",IF(OR(M486="worn",M486="damaged"),"Quarantine","Returned")),IF(C486="issue","Issued",IF(C486="transfer","Moved",IF(C486="write_off","Written off",IF(C486="unfilled","Unfilled",""))))))))</f>
      </c>
      <c r="B486" s="31"/>
      <c r="C486" s="35"/>
      <c r="D486" s="33"/>
      <c r="E486" s="31"/>
      <c r="F486" s="31"/>
      <c r="G486" s="37">
        <f>IF(F486="","",IF(ISNA(MATCH(F486,'Item master'!$A$2:$A$301,0)),"Not in Item master",IFERROR(INDEX('Item master'!$B$2:$B$301,MATCH(F486,'Item master'!$A$2:$A$301,0))&amp;"","")))</f>
      </c>
      <c r="H486" s="34"/>
      <c r="I486" s="31"/>
      <c r="J486" s="31"/>
      <c r="K486" s="33"/>
      <c r="L486" s="31"/>
      <c r="M486" s="35"/>
      <c r="N486" s="30"/>
      <c r="O486" s="30"/>
      <c r="P486" s="36"/>
      <c r="Q486" s="38">
        <f>IF(OR(C486&lt;&gt;"loan",E486=""),"",IF(ISNA(MATCH(E486,Units!$A$2:$A$501,0)),"",IF(INDEX(Units!$E$2:$E$501,MATCH(E486,Units!$A$2:$A$501,0))="","",IF(K486="","No due date",IF(INT(K486)&gt;INDEX(Units!$E$2:$E$501,MATCH(E486,Units!$A$2:$A$501,0)),"Past cal date","OK")))))</f>
      </c>
      <c r="R486" s="37">
        <f>IF(A486="Overdue",K486+ROW()/10000000,"")</f>
      </c>
    </row>
    <row r="487">
      <c r="A487" s="38">
        <f>IF(C487="","",IF(B487="","Needs ID",IF(OR(C487="loan",C487="send_out"),IF(COUNTIF($L$2:$L$1001,B487)&gt;0,"Closed",IF(K487="","Open",IF(K487&lt;NOW(),"Overdue","Open"))),IF(C487="return",IF(OR(L487="",COUNTIF($B$2:$B$1001,L487)=0),"No match",IF(OR(M487="worn",M487="damaged"),"Quarantine","Returned")),IF(C487="issue","Issued",IF(C487="transfer","Moved",IF(C487="write_off","Written off",IF(C487="unfilled","Unfilled",""))))))))</f>
      </c>
      <c r="B487" s="31"/>
      <c r="C487" s="35"/>
      <c r="D487" s="33"/>
      <c r="E487" s="31"/>
      <c r="F487" s="31"/>
      <c r="G487" s="37">
        <f>IF(F487="","",IF(ISNA(MATCH(F487,'Item master'!$A$2:$A$301,0)),"Not in Item master",IFERROR(INDEX('Item master'!$B$2:$B$301,MATCH(F487,'Item master'!$A$2:$A$301,0))&amp;"","")))</f>
      </c>
      <c r="H487" s="34"/>
      <c r="I487" s="31"/>
      <c r="J487" s="31"/>
      <c r="K487" s="33"/>
      <c r="L487" s="31"/>
      <c r="M487" s="35"/>
      <c r="N487" s="30"/>
      <c r="O487" s="30"/>
      <c r="P487" s="36"/>
      <c r="Q487" s="38">
        <f>IF(OR(C487&lt;&gt;"loan",E487=""),"",IF(ISNA(MATCH(E487,Units!$A$2:$A$501,0)),"",IF(INDEX(Units!$E$2:$E$501,MATCH(E487,Units!$A$2:$A$501,0))="","",IF(K487="","No due date",IF(INT(K487)&gt;INDEX(Units!$E$2:$E$501,MATCH(E487,Units!$A$2:$A$501,0)),"Past cal date","OK")))))</f>
      </c>
      <c r="R487" s="37">
        <f>IF(A487="Overdue",K487+ROW()/10000000,"")</f>
      </c>
    </row>
    <row r="488">
      <c r="A488" s="38">
        <f>IF(C488="","",IF(B488="","Needs ID",IF(OR(C488="loan",C488="send_out"),IF(COUNTIF($L$2:$L$1001,B488)&gt;0,"Closed",IF(K488="","Open",IF(K488&lt;NOW(),"Overdue","Open"))),IF(C488="return",IF(OR(L488="",COUNTIF($B$2:$B$1001,L488)=0),"No match",IF(OR(M488="worn",M488="damaged"),"Quarantine","Returned")),IF(C488="issue","Issued",IF(C488="transfer","Moved",IF(C488="write_off","Written off",IF(C488="unfilled","Unfilled",""))))))))</f>
      </c>
      <c r="B488" s="31"/>
      <c r="C488" s="35"/>
      <c r="D488" s="33"/>
      <c r="E488" s="31"/>
      <c r="F488" s="31"/>
      <c r="G488" s="37">
        <f>IF(F488="","",IF(ISNA(MATCH(F488,'Item master'!$A$2:$A$301,0)),"Not in Item master",IFERROR(INDEX('Item master'!$B$2:$B$301,MATCH(F488,'Item master'!$A$2:$A$301,0))&amp;"","")))</f>
      </c>
      <c r="H488" s="34"/>
      <c r="I488" s="31"/>
      <c r="J488" s="31"/>
      <c r="K488" s="33"/>
      <c r="L488" s="31"/>
      <c r="M488" s="35"/>
      <c r="N488" s="30"/>
      <c r="O488" s="30"/>
      <c r="P488" s="36"/>
      <c r="Q488" s="38">
        <f>IF(OR(C488&lt;&gt;"loan",E488=""),"",IF(ISNA(MATCH(E488,Units!$A$2:$A$501,0)),"",IF(INDEX(Units!$E$2:$E$501,MATCH(E488,Units!$A$2:$A$501,0))="","",IF(K488="","No due date",IF(INT(K488)&gt;INDEX(Units!$E$2:$E$501,MATCH(E488,Units!$A$2:$A$501,0)),"Past cal date","OK")))))</f>
      </c>
      <c r="R488" s="37">
        <f>IF(A488="Overdue",K488+ROW()/10000000,"")</f>
      </c>
    </row>
    <row r="489">
      <c r="A489" s="38">
        <f>IF(C489="","",IF(B489="","Needs ID",IF(OR(C489="loan",C489="send_out"),IF(COUNTIF($L$2:$L$1001,B489)&gt;0,"Closed",IF(K489="","Open",IF(K489&lt;NOW(),"Overdue","Open"))),IF(C489="return",IF(OR(L489="",COUNTIF($B$2:$B$1001,L489)=0),"No match",IF(OR(M489="worn",M489="damaged"),"Quarantine","Returned")),IF(C489="issue","Issued",IF(C489="transfer","Moved",IF(C489="write_off","Written off",IF(C489="unfilled","Unfilled",""))))))))</f>
      </c>
      <c r="B489" s="31"/>
      <c r="C489" s="35"/>
      <c r="D489" s="33"/>
      <c r="E489" s="31"/>
      <c r="F489" s="31"/>
      <c r="G489" s="37">
        <f>IF(F489="","",IF(ISNA(MATCH(F489,'Item master'!$A$2:$A$301,0)),"Not in Item master",IFERROR(INDEX('Item master'!$B$2:$B$301,MATCH(F489,'Item master'!$A$2:$A$301,0))&amp;"","")))</f>
      </c>
      <c r="H489" s="34"/>
      <c r="I489" s="31"/>
      <c r="J489" s="31"/>
      <c r="K489" s="33"/>
      <c r="L489" s="31"/>
      <c r="M489" s="35"/>
      <c r="N489" s="30"/>
      <c r="O489" s="30"/>
      <c r="P489" s="36"/>
      <c r="Q489" s="38">
        <f>IF(OR(C489&lt;&gt;"loan",E489=""),"",IF(ISNA(MATCH(E489,Units!$A$2:$A$501,0)),"",IF(INDEX(Units!$E$2:$E$501,MATCH(E489,Units!$A$2:$A$501,0))="","",IF(K489="","No due date",IF(INT(K489)&gt;INDEX(Units!$E$2:$E$501,MATCH(E489,Units!$A$2:$A$501,0)),"Past cal date","OK")))))</f>
      </c>
      <c r="R489" s="37">
        <f>IF(A489="Overdue",K489+ROW()/10000000,"")</f>
      </c>
    </row>
    <row r="490">
      <c r="A490" s="38">
        <f>IF(C490="","",IF(B490="","Needs ID",IF(OR(C490="loan",C490="send_out"),IF(COUNTIF($L$2:$L$1001,B490)&gt;0,"Closed",IF(K490="","Open",IF(K490&lt;NOW(),"Overdue","Open"))),IF(C490="return",IF(OR(L490="",COUNTIF($B$2:$B$1001,L490)=0),"No match",IF(OR(M490="worn",M490="damaged"),"Quarantine","Returned")),IF(C490="issue","Issued",IF(C490="transfer","Moved",IF(C490="write_off","Written off",IF(C490="unfilled","Unfilled",""))))))))</f>
      </c>
      <c r="B490" s="31"/>
      <c r="C490" s="35"/>
      <c r="D490" s="33"/>
      <c r="E490" s="31"/>
      <c r="F490" s="31"/>
      <c r="G490" s="37">
        <f>IF(F490="","",IF(ISNA(MATCH(F490,'Item master'!$A$2:$A$301,0)),"Not in Item master",IFERROR(INDEX('Item master'!$B$2:$B$301,MATCH(F490,'Item master'!$A$2:$A$301,0))&amp;"","")))</f>
      </c>
      <c r="H490" s="34"/>
      <c r="I490" s="31"/>
      <c r="J490" s="31"/>
      <c r="K490" s="33"/>
      <c r="L490" s="31"/>
      <c r="M490" s="35"/>
      <c r="N490" s="30"/>
      <c r="O490" s="30"/>
      <c r="P490" s="36"/>
      <c r="Q490" s="38">
        <f>IF(OR(C490&lt;&gt;"loan",E490=""),"",IF(ISNA(MATCH(E490,Units!$A$2:$A$501,0)),"",IF(INDEX(Units!$E$2:$E$501,MATCH(E490,Units!$A$2:$A$501,0))="","",IF(K490="","No due date",IF(INT(K490)&gt;INDEX(Units!$E$2:$E$501,MATCH(E490,Units!$A$2:$A$501,0)),"Past cal date","OK")))))</f>
      </c>
      <c r="R490" s="37">
        <f>IF(A490="Overdue",K490+ROW()/10000000,"")</f>
      </c>
    </row>
    <row r="491">
      <c r="A491" s="38">
        <f>IF(C491="","",IF(B491="","Needs ID",IF(OR(C491="loan",C491="send_out"),IF(COUNTIF($L$2:$L$1001,B491)&gt;0,"Closed",IF(K491="","Open",IF(K491&lt;NOW(),"Overdue","Open"))),IF(C491="return",IF(OR(L491="",COUNTIF($B$2:$B$1001,L491)=0),"No match",IF(OR(M491="worn",M491="damaged"),"Quarantine","Returned")),IF(C491="issue","Issued",IF(C491="transfer","Moved",IF(C491="write_off","Written off",IF(C491="unfilled","Unfilled",""))))))))</f>
      </c>
      <c r="B491" s="31"/>
      <c r="C491" s="35"/>
      <c r="D491" s="33"/>
      <c r="E491" s="31"/>
      <c r="F491" s="31"/>
      <c r="G491" s="37">
        <f>IF(F491="","",IF(ISNA(MATCH(F491,'Item master'!$A$2:$A$301,0)),"Not in Item master",IFERROR(INDEX('Item master'!$B$2:$B$301,MATCH(F491,'Item master'!$A$2:$A$301,0))&amp;"","")))</f>
      </c>
      <c r="H491" s="34"/>
      <c r="I491" s="31"/>
      <c r="J491" s="31"/>
      <c r="K491" s="33"/>
      <c r="L491" s="31"/>
      <c r="M491" s="35"/>
      <c r="N491" s="30"/>
      <c r="O491" s="30"/>
      <c r="P491" s="36"/>
      <c r="Q491" s="38">
        <f>IF(OR(C491&lt;&gt;"loan",E491=""),"",IF(ISNA(MATCH(E491,Units!$A$2:$A$501,0)),"",IF(INDEX(Units!$E$2:$E$501,MATCH(E491,Units!$A$2:$A$501,0))="","",IF(K491="","No due date",IF(INT(K491)&gt;INDEX(Units!$E$2:$E$501,MATCH(E491,Units!$A$2:$A$501,0)),"Past cal date","OK")))))</f>
      </c>
      <c r="R491" s="37">
        <f>IF(A491="Overdue",K491+ROW()/10000000,"")</f>
      </c>
    </row>
    <row r="492">
      <c r="A492" s="38">
        <f>IF(C492="","",IF(B492="","Needs ID",IF(OR(C492="loan",C492="send_out"),IF(COUNTIF($L$2:$L$1001,B492)&gt;0,"Closed",IF(K492="","Open",IF(K492&lt;NOW(),"Overdue","Open"))),IF(C492="return",IF(OR(L492="",COUNTIF($B$2:$B$1001,L492)=0),"No match",IF(OR(M492="worn",M492="damaged"),"Quarantine","Returned")),IF(C492="issue","Issued",IF(C492="transfer","Moved",IF(C492="write_off","Written off",IF(C492="unfilled","Unfilled",""))))))))</f>
      </c>
      <c r="B492" s="31"/>
      <c r="C492" s="35"/>
      <c r="D492" s="33"/>
      <c r="E492" s="31"/>
      <c r="F492" s="31"/>
      <c r="G492" s="37">
        <f>IF(F492="","",IF(ISNA(MATCH(F492,'Item master'!$A$2:$A$301,0)),"Not in Item master",IFERROR(INDEX('Item master'!$B$2:$B$301,MATCH(F492,'Item master'!$A$2:$A$301,0))&amp;"","")))</f>
      </c>
      <c r="H492" s="34"/>
      <c r="I492" s="31"/>
      <c r="J492" s="31"/>
      <c r="K492" s="33"/>
      <c r="L492" s="31"/>
      <c r="M492" s="35"/>
      <c r="N492" s="30"/>
      <c r="O492" s="30"/>
      <c r="P492" s="36"/>
      <c r="Q492" s="38">
        <f>IF(OR(C492&lt;&gt;"loan",E492=""),"",IF(ISNA(MATCH(E492,Units!$A$2:$A$501,0)),"",IF(INDEX(Units!$E$2:$E$501,MATCH(E492,Units!$A$2:$A$501,0))="","",IF(K492="","No due date",IF(INT(K492)&gt;INDEX(Units!$E$2:$E$501,MATCH(E492,Units!$A$2:$A$501,0)),"Past cal date","OK")))))</f>
      </c>
      <c r="R492" s="37">
        <f>IF(A492="Overdue",K492+ROW()/10000000,"")</f>
      </c>
    </row>
    <row r="493">
      <c r="A493" s="38">
        <f>IF(C493="","",IF(B493="","Needs ID",IF(OR(C493="loan",C493="send_out"),IF(COUNTIF($L$2:$L$1001,B493)&gt;0,"Closed",IF(K493="","Open",IF(K493&lt;NOW(),"Overdue","Open"))),IF(C493="return",IF(OR(L493="",COUNTIF($B$2:$B$1001,L493)=0),"No match",IF(OR(M493="worn",M493="damaged"),"Quarantine","Returned")),IF(C493="issue","Issued",IF(C493="transfer","Moved",IF(C493="write_off","Written off",IF(C493="unfilled","Unfilled",""))))))))</f>
      </c>
      <c r="B493" s="31"/>
      <c r="C493" s="35"/>
      <c r="D493" s="33"/>
      <c r="E493" s="31"/>
      <c r="F493" s="31"/>
      <c r="G493" s="37">
        <f>IF(F493="","",IF(ISNA(MATCH(F493,'Item master'!$A$2:$A$301,0)),"Not in Item master",IFERROR(INDEX('Item master'!$B$2:$B$301,MATCH(F493,'Item master'!$A$2:$A$301,0))&amp;"","")))</f>
      </c>
      <c r="H493" s="34"/>
      <c r="I493" s="31"/>
      <c r="J493" s="31"/>
      <c r="K493" s="33"/>
      <c r="L493" s="31"/>
      <c r="M493" s="35"/>
      <c r="N493" s="30"/>
      <c r="O493" s="30"/>
      <c r="P493" s="36"/>
      <c r="Q493" s="38">
        <f>IF(OR(C493&lt;&gt;"loan",E493=""),"",IF(ISNA(MATCH(E493,Units!$A$2:$A$501,0)),"",IF(INDEX(Units!$E$2:$E$501,MATCH(E493,Units!$A$2:$A$501,0))="","",IF(K493="","No due date",IF(INT(K493)&gt;INDEX(Units!$E$2:$E$501,MATCH(E493,Units!$A$2:$A$501,0)),"Past cal date","OK")))))</f>
      </c>
      <c r="R493" s="37">
        <f>IF(A493="Overdue",K493+ROW()/10000000,"")</f>
      </c>
    </row>
    <row r="494">
      <c r="A494" s="38">
        <f>IF(C494="","",IF(B494="","Needs ID",IF(OR(C494="loan",C494="send_out"),IF(COUNTIF($L$2:$L$1001,B494)&gt;0,"Closed",IF(K494="","Open",IF(K494&lt;NOW(),"Overdue","Open"))),IF(C494="return",IF(OR(L494="",COUNTIF($B$2:$B$1001,L494)=0),"No match",IF(OR(M494="worn",M494="damaged"),"Quarantine","Returned")),IF(C494="issue","Issued",IF(C494="transfer","Moved",IF(C494="write_off","Written off",IF(C494="unfilled","Unfilled",""))))))))</f>
      </c>
      <c r="B494" s="31"/>
      <c r="C494" s="35"/>
      <c r="D494" s="33"/>
      <c r="E494" s="31"/>
      <c r="F494" s="31"/>
      <c r="G494" s="37">
        <f>IF(F494="","",IF(ISNA(MATCH(F494,'Item master'!$A$2:$A$301,0)),"Not in Item master",IFERROR(INDEX('Item master'!$B$2:$B$301,MATCH(F494,'Item master'!$A$2:$A$301,0))&amp;"","")))</f>
      </c>
      <c r="H494" s="34"/>
      <c r="I494" s="31"/>
      <c r="J494" s="31"/>
      <c r="K494" s="33"/>
      <c r="L494" s="31"/>
      <c r="M494" s="35"/>
      <c r="N494" s="30"/>
      <c r="O494" s="30"/>
      <c r="P494" s="36"/>
      <c r="Q494" s="38">
        <f>IF(OR(C494&lt;&gt;"loan",E494=""),"",IF(ISNA(MATCH(E494,Units!$A$2:$A$501,0)),"",IF(INDEX(Units!$E$2:$E$501,MATCH(E494,Units!$A$2:$A$501,0))="","",IF(K494="","No due date",IF(INT(K494)&gt;INDEX(Units!$E$2:$E$501,MATCH(E494,Units!$A$2:$A$501,0)),"Past cal date","OK")))))</f>
      </c>
      <c r="R494" s="37">
        <f>IF(A494="Overdue",K494+ROW()/10000000,"")</f>
      </c>
    </row>
    <row r="495">
      <c r="A495" s="38">
        <f>IF(C495="","",IF(B495="","Needs ID",IF(OR(C495="loan",C495="send_out"),IF(COUNTIF($L$2:$L$1001,B495)&gt;0,"Closed",IF(K495="","Open",IF(K495&lt;NOW(),"Overdue","Open"))),IF(C495="return",IF(OR(L495="",COUNTIF($B$2:$B$1001,L495)=0),"No match",IF(OR(M495="worn",M495="damaged"),"Quarantine","Returned")),IF(C495="issue","Issued",IF(C495="transfer","Moved",IF(C495="write_off","Written off",IF(C495="unfilled","Unfilled",""))))))))</f>
      </c>
      <c r="B495" s="31"/>
      <c r="C495" s="35"/>
      <c r="D495" s="33"/>
      <c r="E495" s="31"/>
      <c r="F495" s="31"/>
      <c r="G495" s="37">
        <f>IF(F495="","",IF(ISNA(MATCH(F495,'Item master'!$A$2:$A$301,0)),"Not in Item master",IFERROR(INDEX('Item master'!$B$2:$B$301,MATCH(F495,'Item master'!$A$2:$A$301,0))&amp;"","")))</f>
      </c>
      <c r="H495" s="34"/>
      <c r="I495" s="31"/>
      <c r="J495" s="31"/>
      <c r="K495" s="33"/>
      <c r="L495" s="31"/>
      <c r="M495" s="35"/>
      <c r="N495" s="30"/>
      <c r="O495" s="30"/>
      <c r="P495" s="36"/>
      <c r="Q495" s="38">
        <f>IF(OR(C495&lt;&gt;"loan",E495=""),"",IF(ISNA(MATCH(E495,Units!$A$2:$A$501,0)),"",IF(INDEX(Units!$E$2:$E$501,MATCH(E495,Units!$A$2:$A$501,0))="","",IF(K495="","No due date",IF(INT(K495)&gt;INDEX(Units!$E$2:$E$501,MATCH(E495,Units!$A$2:$A$501,0)),"Past cal date","OK")))))</f>
      </c>
      <c r="R495" s="37">
        <f>IF(A495="Overdue",K495+ROW()/10000000,"")</f>
      </c>
    </row>
    <row r="496">
      <c r="A496" s="38">
        <f>IF(C496="","",IF(B496="","Needs ID",IF(OR(C496="loan",C496="send_out"),IF(COUNTIF($L$2:$L$1001,B496)&gt;0,"Closed",IF(K496="","Open",IF(K496&lt;NOW(),"Overdue","Open"))),IF(C496="return",IF(OR(L496="",COUNTIF($B$2:$B$1001,L496)=0),"No match",IF(OR(M496="worn",M496="damaged"),"Quarantine","Returned")),IF(C496="issue","Issued",IF(C496="transfer","Moved",IF(C496="write_off","Written off",IF(C496="unfilled","Unfilled",""))))))))</f>
      </c>
      <c r="B496" s="31"/>
      <c r="C496" s="35"/>
      <c r="D496" s="33"/>
      <c r="E496" s="31"/>
      <c r="F496" s="31"/>
      <c r="G496" s="37">
        <f>IF(F496="","",IF(ISNA(MATCH(F496,'Item master'!$A$2:$A$301,0)),"Not in Item master",IFERROR(INDEX('Item master'!$B$2:$B$301,MATCH(F496,'Item master'!$A$2:$A$301,0))&amp;"","")))</f>
      </c>
      <c r="H496" s="34"/>
      <c r="I496" s="31"/>
      <c r="J496" s="31"/>
      <c r="K496" s="33"/>
      <c r="L496" s="31"/>
      <c r="M496" s="35"/>
      <c r="N496" s="30"/>
      <c r="O496" s="30"/>
      <c r="P496" s="36"/>
      <c r="Q496" s="38">
        <f>IF(OR(C496&lt;&gt;"loan",E496=""),"",IF(ISNA(MATCH(E496,Units!$A$2:$A$501,0)),"",IF(INDEX(Units!$E$2:$E$501,MATCH(E496,Units!$A$2:$A$501,0))="","",IF(K496="","No due date",IF(INT(K496)&gt;INDEX(Units!$E$2:$E$501,MATCH(E496,Units!$A$2:$A$501,0)),"Past cal date","OK")))))</f>
      </c>
      <c r="R496" s="37">
        <f>IF(A496="Overdue",K496+ROW()/10000000,"")</f>
      </c>
    </row>
    <row r="497">
      <c r="A497" s="38">
        <f>IF(C497="","",IF(B497="","Needs ID",IF(OR(C497="loan",C497="send_out"),IF(COUNTIF($L$2:$L$1001,B497)&gt;0,"Closed",IF(K497="","Open",IF(K497&lt;NOW(),"Overdue","Open"))),IF(C497="return",IF(OR(L497="",COUNTIF($B$2:$B$1001,L497)=0),"No match",IF(OR(M497="worn",M497="damaged"),"Quarantine","Returned")),IF(C497="issue","Issued",IF(C497="transfer","Moved",IF(C497="write_off","Written off",IF(C497="unfilled","Unfilled",""))))))))</f>
      </c>
      <c r="B497" s="31"/>
      <c r="C497" s="35"/>
      <c r="D497" s="33"/>
      <c r="E497" s="31"/>
      <c r="F497" s="31"/>
      <c r="G497" s="37">
        <f>IF(F497="","",IF(ISNA(MATCH(F497,'Item master'!$A$2:$A$301,0)),"Not in Item master",IFERROR(INDEX('Item master'!$B$2:$B$301,MATCH(F497,'Item master'!$A$2:$A$301,0))&amp;"","")))</f>
      </c>
      <c r="H497" s="34"/>
      <c r="I497" s="31"/>
      <c r="J497" s="31"/>
      <c r="K497" s="33"/>
      <c r="L497" s="31"/>
      <c r="M497" s="35"/>
      <c r="N497" s="30"/>
      <c r="O497" s="30"/>
      <c r="P497" s="36"/>
      <c r="Q497" s="38">
        <f>IF(OR(C497&lt;&gt;"loan",E497=""),"",IF(ISNA(MATCH(E497,Units!$A$2:$A$501,0)),"",IF(INDEX(Units!$E$2:$E$501,MATCH(E497,Units!$A$2:$A$501,0))="","",IF(K497="","No due date",IF(INT(K497)&gt;INDEX(Units!$E$2:$E$501,MATCH(E497,Units!$A$2:$A$501,0)),"Past cal date","OK")))))</f>
      </c>
      <c r="R497" s="37">
        <f>IF(A497="Overdue",K497+ROW()/10000000,"")</f>
      </c>
    </row>
    <row r="498">
      <c r="A498" s="38">
        <f>IF(C498="","",IF(B498="","Needs ID",IF(OR(C498="loan",C498="send_out"),IF(COUNTIF($L$2:$L$1001,B498)&gt;0,"Closed",IF(K498="","Open",IF(K498&lt;NOW(),"Overdue","Open"))),IF(C498="return",IF(OR(L498="",COUNTIF($B$2:$B$1001,L498)=0),"No match",IF(OR(M498="worn",M498="damaged"),"Quarantine","Returned")),IF(C498="issue","Issued",IF(C498="transfer","Moved",IF(C498="write_off","Written off",IF(C498="unfilled","Unfilled",""))))))))</f>
      </c>
      <c r="B498" s="31"/>
      <c r="C498" s="35"/>
      <c r="D498" s="33"/>
      <c r="E498" s="31"/>
      <c r="F498" s="31"/>
      <c r="G498" s="37">
        <f>IF(F498="","",IF(ISNA(MATCH(F498,'Item master'!$A$2:$A$301,0)),"Not in Item master",IFERROR(INDEX('Item master'!$B$2:$B$301,MATCH(F498,'Item master'!$A$2:$A$301,0))&amp;"","")))</f>
      </c>
      <c r="H498" s="34"/>
      <c r="I498" s="31"/>
      <c r="J498" s="31"/>
      <c r="K498" s="33"/>
      <c r="L498" s="31"/>
      <c r="M498" s="35"/>
      <c r="N498" s="30"/>
      <c r="O498" s="30"/>
      <c r="P498" s="36"/>
      <c r="Q498" s="38">
        <f>IF(OR(C498&lt;&gt;"loan",E498=""),"",IF(ISNA(MATCH(E498,Units!$A$2:$A$501,0)),"",IF(INDEX(Units!$E$2:$E$501,MATCH(E498,Units!$A$2:$A$501,0))="","",IF(K498="","No due date",IF(INT(K498)&gt;INDEX(Units!$E$2:$E$501,MATCH(E498,Units!$A$2:$A$501,0)),"Past cal date","OK")))))</f>
      </c>
      <c r="R498" s="37">
        <f>IF(A498="Overdue",K498+ROW()/10000000,"")</f>
      </c>
    </row>
    <row r="499">
      <c r="A499" s="38">
        <f>IF(C499="","",IF(B499="","Needs ID",IF(OR(C499="loan",C499="send_out"),IF(COUNTIF($L$2:$L$1001,B499)&gt;0,"Closed",IF(K499="","Open",IF(K499&lt;NOW(),"Overdue","Open"))),IF(C499="return",IF(OR(L499="",COUNTIF($B$2:$B$1001,L499)=0),"No match",IF(OR(M499="worn",M499="damaged"),"Quarantine","Returned")),IF(C499="issue","Issued",IF(C499="transfer","Moved",IF(C499="write_off","Written off",IF(C499="unfilled","Unfilled",""))))))))</f>
      </c>
      <c r="B499" s="31"/>
      <c r="C499" s="35"/>
      <c r="D499" s="33"/>
      <c r="E499" s="31"/>
      <c r="F499" s="31"/>
      <c r="G499" s="37">
        <f>IF(F499="","",IF(ISNA(MATCH(F499,'Item master'!$A$2:$A$301,0)),"Not in Item master",IFERROR(INDEX('Item master'!$B$2:$B$301,MATCH(F499,'Item master'!$A$2:$A$301,0))&amp;"","")))</f>
      </c>
      <c r="H499" s="34"/>
      <c r="I499" s="31"/>
      <c r="J499" s="31"/>
      <c r="K499" s="33"/>
      <c r="L499" s="31"/>
      <c r="M499" s="35"/>
      <c r="N499" s="30"/>
      <c r="O499" s="30"/>
      <c r="P499" s="36"/>
      <c r="Q499" s="38">
        <f>IF(OR(C499&lt;&gt;"loan",E499=""),"",IF(ISNA(MATCH(E499,Units!$A$2:$A$501,0)),"",IF(INDEX(Units!$E$2:$E$501,MATCH(E499,Units!$A$2:$A$501,0))="","",IF(K499="","No due date",IF(INT(K499)&gt;INDEX(Units!$E$2:$E$501,MATCH(E499,Units!$A$2:$A$501,0)),"Past cal date","OK")))))</f>
      </c>
      <c r="R499" s="37">
        <f>IF(A499="Overdue",K499+ROW()/10000000,"")</f>
      </c>
    </row>
    <row r="500">
      <c r="A500" s="38">
        <f>IF(C500="","",IF(B500="","Needs ID",IF(OR(C500="loan",C500="send_out"),IF(COUNTIF($L$2:$L$1001,B500)&gt;0,"Closed",IF(K500="","Open",IF(K500&lt;NOW(),"Overdue","Open"))),IF(C500="return",IF(OR(L500="",COUNTIF($B$2:$B$1001,L500)=0),"No match",IF(OR(M500="worn",M500="damaged"),"Quarantine","Returned")),IF(C500="issue","Issued",IF(C500="transfer","Moved",IF(C500="write_off","Written off",IF(C500="unfilled","Unfilled",""))))))))</f>
      </c>
      <c r="B500" s="31"/>
      <c r="C500" s="35"/>
      <c r="D500" s="33"/>
      <c r="E500" s="31"/>
      <c r="F500" s="31"/>
      <c r="G500" s="37">
        <f>IF(F500="","",IF(ISNA(MATCH(F500,'Item master'!$A$2:$A$301,0)),"Not in Item master",IFERROR(INDEX('Item master'!$B$2:$B$301,MATCH(F500,'Item master'!$A$2:$A$301,0))&amp;"","")))</f>
      </c>
      <c r="H500" s="34"/>
      <c r="I500" s="31"/>
      <c r="J500" s="31"/>
      <c r="K500" s="33"/>
      <c r="L500" s="31"/>
      <c r="M500" s="35"/>
      <c r="N500" s="30"/>
      <c r="O500" s="30"/>
      <c r="P500" s="36"/>
      <c r="Q500" s="38">
        <f>IF(OR(C500&lt;&gt;"loan",E500=""),"",IF(ISNA(MATCH(E500,Units!$A$2:$A$501,0)),"",IF(INDEX(Units!$E$2:$E$501,MATCH(E500,Units!$A$2:$A$501,0))="","",IF(K500="","No due date",IF(INT(K500)&gt;INDEX(Units!$E$2:$E$501,MATCH(E500,Units!$A$2:$A$501,0)),"Past cal date","OK")))))</f>
      </c>
      <c r="R500" s="37">
        <f>IF(A500="Overdue",K500+ROW()/10000000,"")</f>
      </c>
    </row>
    <row r="501">
      <c r="A501" s="38">
        <f>IF(C501="","",IF(B501="","Needs ID",IF(OR(C501="loan",C501="send_out"),IF(COUNTIF($L$2:$L$1001,B501)&gt;0,"Closed",IF(K501="","Open",IF(K501&lt;NOW(),"Overdue","Open"))),IF(C501="return",IF(OR(L501="",COUNTIF($B$2:$B$1001,L501)=0),"No match",IF(OR(M501="worn",M501="damaged"),"Quarantine","Returned")),IF(C501="issue","Issued",IF(C501="transfer","Moved",IF(C501="write_off","Written off",IF(C501="unfilled","Unfilled",""))))))))</f>
      </c>
      <c r="B501" s="31"/>
      <c r="C501" s="35"/>
      <c r="D501" s="33"/>
      <c r="E501" s="31"/>
      <c r="F501" s="31"/>
      <c r="G501" s="37">
        <f>IF(F501="","",IF(ISNA(MATCH(F501,'Item master'!$A$2:$A$301,0)),"Not in Item master",IFERROR(INDEX('Item master'!$B$2:$B$301,MATCH(F501,'Item master'!$A$2:$A$301,0))&amp;"","")))</f>
      </c>
      <c r="H501" s="34"/>
      <c r="I501" s="31"/>
      <c r="J501" s="31"/>
      <c r="K501" s="33"/>
      <c r="L501" s="31"/>
      <c r="M501" s="35"/>
      <c r="N501" s="30"/>
      <c r="O501" s="30"/>
      <c r="P501" s="36"/>
      <c r="Q501" s="38">
        <f>IF(OR(C501&lt;&gt;"loan",E501=""),"",IF(ISNA(MATCH(E501,Units!$A$2:$A$501,0)),"",IF(INDEX(Units!$E$2:$E$501,MATCH(E501,Units!$A$2:$A$501,0))="","",IF(K501="","No due date",IF(INT(K501)&gt;INDEX(Units!$E$2:$E$501,MATCH(E501,Units!$A$2:$A$501,0)),"Past cal date","OK")))))</f>
      </c>
      <c r="R501" s="37">
        <f>IF(A501="Overdue",K501+ROW()/10000000,"")</f>
      </c>
    </row>
    <row r="502">
      <c r="A502" s="38">
        <f>IF(C502="","",IF(B502="","Needs ID",IF(OR(C502="loan",C502="send_out"),IF(COUNTIF($L$2:$L$1001,B502)&gt;0,"Closed",IF(K502="","Open",IF(K502&lt;NOW(),"Overdue","Open"))),IF(C502="return",IF(OR(L502="",COUNTIF($B$2:$B$1001,L502)=0),"No match",IF(OR(M502="worn",M502="damaged"),"Quarantine","Returned")),IF(C502="issue","Issued",IF(C502="transfer","Moved",IF(C502="write_off","Written off",IF(C502="unfilled","Unfilled",""))))))))</f>
      </c>
      <c r="B502" s="31"/>
      <c r="C502" s="35"/>
      <c r="D502" s="33"/>
      <c r="E502" s="31"/>
      <c r="F502" s="31"/>
      <c r="G502" s="37">
        <f>IF(F502="","",IF(ISNA(MATCH(F502,'Item master'!$A$2:$A$301,0)),"Not in Item master",IFERROR(INDEX('Item master'!$B$2:$B$301,MATCH(F502,'Item master'!$A$2:$A$301,0))&amp;"","")))</f>
      </c>
      <c r="H502" s="34"/>
      <c r="I502" s="31"/>
      <c r="J502" s="31"/>
      <c r="K502" s="33"/>
      <c r="L502" s="31"/>
      <c r="M502" s="35"/>
      <c r="N502" s="30"/>
      <c r="O502" s="30"/>
      <c r="P502" s="36"/>
      <c r="Q502" s="38">
        <f>IF(OR(C502&lt;&gt;"loan",E502=""),"",IF(ISNA(MATCH(E502,Units!$A$2:$A$501,0)),"",IF(INDEX(Units!$E$2:$E$501,MATCH(E502,Units!$A$2:$A$501,0))="","",IF(K502="","No due date",IF(INT(K502)&gt;INDEX(Units!$E$2:$E$501,MATCH(E502,Units!$A$2:$A$501,0)),"Past cal date","OK")))))</f>
      </c>
      <c r="R502" s="37">
        <f>IF(A502="Overdue",K502+ROW()/10000000,"")</f>
      </c>
    </row>
    <row r="503">
      <c r="A503" s="38">
        <f>IF(C503="","",IF(B503="","Needs ID",IF(OR(C503="loan",C503="send_out"),IF(COUNTIF($L$2:$L$1001,B503)&gt;0,"Closed",IF(K503="","Open",IF(K503&lt;NOW(),"Overdue","Open"))),IF(C503="return",IF(OR(L503="",COUNTIF($B$2:$B$1001,L503)=0),"No match",IF(OR(M503="worn",M503="damaged"),"Quarantine","Returned")),IF(C503="issue","Issued",IF(C503="transfer","Moved",IF(C503="write_off","Written off",IF(C503="unfilled","Unfilled",""))))))))</f>
      </c>
      <c r="B503" s="31"/>
      <c r="C503" s="35"/>
      <c r="D503" s="33"/>
      <c r="E503" s="31"/>
      <c r="F503" s="31"/>
      <c r="G503" s="37">
        <f>IF(F503="","",IF(ISNA(MATCH(F503,'Item master'!$A$2:$A$301,0)),"Not in Item master",IFERROR(INDEX('Item master'!$B$2:$B$301,MATCH(F503,'Item master'!$A$2:$A$301,0))&amp;"","")))</f>
      </c>
      <c r="H503" s="34"/>
      <c r="I503" s="31"/>
      <c r="J503" s="31"/>
      <c r="K503" s="33"/>
      <c r="L503" s="31"/>
      <c r="M503" s="35"/>
      <c r="N503" s="30"/>
      <c r="O503" s="30"/>
      <c r="P503" s="36"/>
      <c r="Q503" s="38">
        <f>IF(OR(C503&lt;&gt;"loan",E503=""),"",IF(ISNA(MATCH(E503,Units!$A$2:$A$501,0)),"",IF(INDEX(Units!$E$2:$E$501,MATCH(E503,Units!$A$2:$A$501,0))="","",IF(K503="","No due date",IF(INT(K503)&gt;INDEX(Units!$E$2:$E$501,MATCH(E503,Units!$A$2:$A$501,0)),"Past cal date","OK")))))</f>
      </c>
      <c r="R503" s="37">
        <f>IF(A503="Overdue",K503+ROW()/10000000,"")</f>
      </c>
    </row>
    <row r="504">
      <c r="A504" s="38">
        <f>IF(C504="","",IF(B504="","Needs ID",IF(OR(C504="loan",C504="send_out"),IF(COUNTIF($L$2:$L$1001,B504)&gt;0,"Closed",IF(K504="","Open",IF(K504&lt;NOW(),"Overdue","Open"))),IF(C504="return",IF(OR(L504="",COUNTIF($B$2:$B$1001,L504)=0),"No match",IF(OR(M504="worn",M504="damaged"),"Quarantine","Returned")),IF(C504="issue","Issued",IF(C504="transfer","Moved",IF(C504="write_off","Written off",IF(C504="unfilled","Unfilled",""))))))))</f>
      </c>
      <c r="B504" s="31"/>
      <c r="C504" s="35"/>
      <c r="D504" s="33"/>
      <c r="E504" s="31"/>
      <c r="F504" s="31"/>
      <c r="G504" s="37">
        <f>IF(F504="","",IF(ISNA(MATCH(F504,'Item master'!$A$2:$A$301,0)),"Not in Item master",IFERROR(INDEX('Item master'!$B$2:$B$301,MATCH(F504,'Item master'!$A$2:$A$301,0))&amp;"","")))</f>
      </c>
      <c r="H504" s="34"/>
      <c r="I504" s="31"/>
      <c r="J504" s="31"/>
      <c r="K504" s="33"/>
      <c r="L504" s="31"/>
      <c r="M504" s="35"/>
      <c r="N504" s="30"/>
      <c r="O504" s="30"/>
      <c r="P504" s="36"/>
      <c r="Q504" s="38">
        <f>IF(OR(C504&lt;&gt;"loan",E504=""),"",IF(ISNA(MATCH(E504,Units!$A$2:$A$501,0)),"",IF(INDEX(Units!$E$2:$E$501,MATCH(E504,Units!$A$2:$A$501,0))="","",IF(K504="","No due date",IF(INT(K504)&gt;INDEX(Units!$E$2:$E$501,MATCH(E504,Units!$A$2:$A$501,0)),"Past cal date","OK")))))</f>
      </c>
      <c r="R504" s="37">
        <f>IF(A504="Overdue",K504+ROW()/10000000,"")</f>
      </c>
    </row>
    <row r="505">
      <c r="A505" s="38">
        <f>IF(C505="","",IF(B505="","Needs ID",IF(OR(C505="loan",C505="send_out"),IF(COUNTIF($L$2:$L$1001,B505)&gt;0,"Closed",IF(K505="","Open",IF(K505&lt;NOW(),"Overdue","Open"))),IF(C505="return",IF(OR(L505="",COUNTIF($B$2:$B$1001,L505)=0),"No match",IF(OR(M505="worn",M505="damaged"),"Quarantine","Returned")),IF(C505="issue","Issued",IF(C505="transfer","Moved",IF(C505="write_off","Written off",IF(C505="unfilled","Unfilled",""))))))))</f>
      </c>
      <c r="B505" s="31"/>
      <c r="C505" s="35"/>
      <c r="D505" s="33"/>
      <c r="E505" s="31"/>
      <c r="F505" s="31"/>
      <c r="G505" s="37">
        <f>IF(F505="","",IF(ISNA(MATCH(F505,'Item master'!$A$2:$A$301,0)),"Not in Item master",IFERROR(INDEX('Item master'!$B$2:$B$301,MATCH(F505,'Item master'!$A$2:$A$301,0))&amp;"","")))</f>
      </c>
      <c r="H505" s="34"/>
      <c r="I505" s="31"/>
      <c r="J505" s="31"/>
      <c r="K505" s="33"/>
      <c r="L505" s="31"/>
      <c r="M505" s="35"/>
      <c r="N505" s="30"/>
      <c r="O505" s="30"/>
      <c r="P505" s="36"/>
      <c r="Q505" s="38">
        <f>IF(OR(C505&lt;&gt;"loan",E505=""),"",IF(ISNA(MATCH(E505,Units!$A$2:$A$501,0)),"",IF(INDEX(Units!$E$2:$E$501,MATCH(E505,Units!$A$2:$A$501,0))="","",IF(K505="","No due date",IF(INT(K505)&gt;INDEX(Units!$E$2:$E$501,MATCH(E505,Units!$A$2:$A$501,0)),"Past cal date","OK")))))</f>
      </c>
      <c r="R505" s="37">
        <f>IF(A505="Overdue",K505+ROW()/10000000,"")</f>
      </c>
    </row>
    <row r="506">
      <c r="A506" s="38">
        <f>IF(C506="","",IF(B506="","Needs ID",IF(OR(C506="loan",C506="send_out"),IF(COUNTIF($L$2:$L$1001,B506)&gt;0,"Closed",IF(K506="","Open",IF(K506&lt;NOW(),"Overdue","Open"))),IF(C506="return",IF(OR(L506="",COUNTIF($B$2:$B$1001,L506)=0),"No match",IF(OR(M506="worn",M506="damaged"),"Quarantine","Returned")),IF(C506="issue","Issued",IF(C506="transfer","Moved",IF(C506="write_off","Written off",IF(C506="unfilled","Unfilled",""))))))))</f>
      </c>
      <c r="B506" s="31"/>
      <c r="C506" s="35"/>
      <c r="D506" s="33"/>
      <c r="E506" s="31"/>
      <c r="F506" s="31"/>
      <c r="G506" s="37">
        <f>IF(F506="","",IF(ISNA(MATCH(F506,'Item master'!$A$2:$A$301,0)),"Not in Item master",IFERROR(INDEX('Item master'!$B$2:$B$301,MATCH(F506,'Item master'!$A$2:$A$301,0))&amp;"","")))</f>
      </c>
      <c r="H506" s="34"/>
      <c r="I506" s="31"/>
      <c r="J506" s="31"/>
      <c r="K506" s="33"/>
      <c r="L506" s="31"/>
      <c r="M506" s="35"/>
      <c r="N506" s="30"/>
      <c r="O506" s="30"/>
      <c r="P506" s="36"/>
      <c r="Q506" s="38">
        <f>IF(OR(C506&lt;&gt;"loan",E506=""),"",IF(ISNA(MATCH(E506,Units!$A$2:$A$501,0)),"",IF(INDEX(Units!$E$2:$E$501,MATCH(E506,Units!$A$2:$A$501,0))="","",IF(K506="","No due date",IF(INT(K506)&gt;INDEX(Units!$E$2:$E$501,MATCH(E506,Units!$A$2:$A$501,0)),"Past cal date","OK")))))</f>
      </c>
      <c r="R506" s="37">
        <f>IF(A506="Overdue",K506+ROW()/10000000,"")</f>
      </c>
    </row>
    <row r="507">
      <c r="A507" s="38">
        <f>IF(C507="","",IF(B507="","Needs ID",IF(OR(C507="loan",C507="send_out"),IF(COUNTIF($L$2:$L$1001,B507)&gt;0,"Closed",IF(K507="","Open",IF(K507&lt;NOW(),"Overdue","Open"))),IF(C507="return",IF(OR(L507="",COUNTIF($B$2:$B$1001,L507)=0),"No match",IF(OR(M507="worn",M507="damaged"),"Quarantine","Returned")),IF(C507="issue","Issued",IF(C507="transfer","Moved",IF(C507="write_off","Written off",IF(C507="unfilled","Unfilled",""))))))))</f>
      </c>
      <c r="B507" s="31"/>
      <c r="C507" s="35"/>
      <c r="D507" s="33"/>
      <c r="E507" s="31"/>
      <c r="F507" s="31"/>
      <c r="G507" s="37">
        <f>IF(F507="","",IF(ISNA(MATCH(F507,'Item master'!$A$2:$A$301,0)),"Not in Item master",IFERROR(INDEX('Item master'!$B$2:$B$301,MATCH(F507,'Item master'!$A$2:$A$301,0))&amp;"","")))</f>
      </c>
      <c r="H507" s="34"/>
      <c r="I507" s="31"/>
      <c r="J507" s="31"/>
      <c r="K507" s="33"/>
      <c r="L507" s="31"/>
      <c r="M507" s="35"/>
      <c r="N507" s="30"/>
      <c r="O507" s="30"/>
      <c r="P507" s="36"/>
      <c r="Q507" s="38">
        <f>IF(OR(C507&lt;&gt;"loan",E507=""),"",IF(ISNA(MATCH(E507,Units!$A$2:$A$501,0)),"",IF(INDEX(Units!$E$2:$E$501,MATCH(E507,Units!$A$2:$A$501,0))="","",IF(K507="","No due date",IF(INT(K507)&gt;INDEX(Units!$E$2:$E$501,MATCH(E507,Units!$A$2:$A$501,0)),"Past cal date","OK")))))</f>
      </c>
      <c r="R507" s="37">
        <f>IF(A507="Overdue",K507+ROW()/10000000,"")</f>
      </c>
    </row>
    <row r="508">
      <c r="A508" s="38">
        <f>IF(C508="","",IF(B508="","Needs ID",IF(OR(C508="loan",C508="send_out"),IF(COUNTIF($L$2:$L$1001,B508)&gt;0,"Closed",IF(K508="","Open",IF(K508&lt;NOW(),"Overdue","Open"))),IF(C508="return",IF(OR(L508="",COUNTIF($B$2:$B$1001,L508)=0),"No match",IF(OR(M508="worn",M508="damaged"),"Quarantine","Returned")),IF(C508="issue","Issued",IF(C508="transfer","Moved",IF(C508="write_off","Written off",IF(C508="unfilled","Unfilled",""))))))))</f>
      </c>
      <c r="B508" s="31"/>
      <c r="C508" s="35"/>
      <c r="D508" s="33"/>
      <c r="E508" s="31"/>
      <c r="F508" s="31"/>
      <c r="G508" s="37">
        <f>IF(F508="","",IF(ISNA(MATCH(F508,'Item master'!$A$2:$A$301,0)),"Not in Item master",IFERROR(INDEX('Item master'!$B$2:$B$301,MATCH(F508,'Item master'!$A$2:$A$301,0))&amp;"","")))</f>
      </c>
      <c r="H508" s="34"/>
      <c r="I508" s="31"/>
      <c r="J508" s="31"/>
      <c r="K508" s="33"/>
      <c r="L508" s="31"/>
      <c r="M508" s="35"/>
      <c r="N508" s="30"/>
      <c r="O508" s="30"/>
      <c r="P508" s="36"/>
      <c r="Q508" s="38">
        <f>IF(OR(C508&lt;&gt;"loan",E508=""),"",IF(ISNA(MATCH(E508,Units!$A$2:$A$501,0)),"",IF(INDEX(Units!$E$2:$E$501,MATCH(E508,Units!$A$2:$A$501,0))="","",IF(K508="","No due date",IF(INT(K508)&gt;INDEX(Units!$E$2:$E$501,MATCH(E508,Units!$A$2:$A$501,0)),"Past cal date","OK")))))</f>
      </c>
      <c r="R508" s="37">
        <f>IF(A508="Overdue",K508+ROW()/10000000,"")</f>
      </c>
    </row>
    <row r="509">
      <c r="A509" s="38">
        <f>IF(C509="","",IF(B509="","Needs ID",IF(OR(C509="loan",C509="send_out"),IF(COUNTIF($L$2:$L$1001,B509)&gt;0,"Closed",IF(K509="","Open",IF(K509&lt;NOW(),"Overdue","Open"))),IF(C509="return",IF(OR(L509="",COUNTIF($B$2:$B$1001,L509)=0),"No match",IF(OR(M509="worn",M509="damaged"),"Quarantine","Returned")),IF(C509="issue","Issued",IF(C509="transfer","Moved",IF(C509="write_off","Written off",IF(C509="unfilled","Unfilled",""))))))))</f>
      </c>
      <c r="B509" s="31"/>
      <c r="C509" s="35"/>
      <c r="D509" s="33"/>
      <c r="E509" s="31"/>
      <c r="F509" s="31"/>
      <c r="G509" s="37">
        <f>IF(F509="","",IF(ISNA(MATCH(F509,'Item master'!$A$2:$A$301,0)),"Not in Item master",IFERROR(INDEX('Item master'!$B$2:$B$301,MATCH(F509,'Item master'!$A$2:$A$301,0))&amp;"","")))</f>
      </c>
      <c r="H509" s="34"/>
      <c r="I509" s="31"/>
      <c r="J509" s="31"/>
      <c r="K509" s="33"/>
      <c r="L509" s="31"/>
      <c r="M509" s="35"/>
      <c r="N509" s="30"/>
      <c r="O509" s="30"/>
      <c r="P509" s="36"/>
      <c r="Q509" s="38">
        <f>IF(OR(C509&lt;&gt;"loan",E509=""),"",IF(ISNA(MATCH(E509,Units!$A$2:$A$501,0)),"",IF(INDEX(Units!$E$2:$E$501,MATCH(E509,Units!$A$2:$A$501,0))="","",IF(K509="","No due date",IF(INT(K509)&gt;INDEX(Units!$E$2:$E$501,MATCH(E509,Units!$A$2:$A$501,0)),"Past cal date","OK")))))</f>
      </c>
      <c r="R509" s="37">
        <f>IF(A509="Overdue",K509+ROW()/10000000,"")</f>
      </c>
    </row>
    <row r="510">
      <c r="A510" s="38">
        <f>IF(C510="","",IF(B510="","Needs ID",IF(OR(C510="loan",C510="send_out"),IF(COUNTIF($L$2:$L$1001,B510)&gt;0,"Closed",IF(K510="","Open",IF(K510&lt;NOW(),"Overdue","Open"))),IF(C510="return",IF(OR(L510="",COUNTIF($B$2:$B$1001,L510)=0),"No match",IF(OR(M510="worn",M510="damaged"),"Quarantine","Returned")),IF(C510="issue","Issued",IF(C510="transfer","Moved",IF(C510="write_off","Written off",IF(C510="unfilled","Unfilled",""))))))))</f>
      </c>
      <c r="B510" s="31"/>
      <c r="C510" s="35"/>
      <c r="D510" s="33"/>
      <c r="E510" s="31"/>
      <c r="F510" s="31"/>
      <c r="G510" s="37">
        <f>IF(F510="","",IF(ISNA(MATCH(F510,'Item master'!$A$2:$A$301,0)),"Not in Item master",IFERROR(INDEX('Item master'!$B$2:$B$301,MATCH(F510,'Item master'!$A$2:$A$301,0))&amp;"","")))</f>
      </c>
      <c r="H510" s="34"/>
      <c r="I510" s="31"/>
      <c r="J510" s="31"/>
      <c r="K510" s="33"/>
      <c r="L510" s="31"/>
      <c r="M510" s="35"/>
      <c r="N510" s="30"/>
      <c r="O510" s="30"/>
      <c r="P510" s="36"/>
      <c r="Q510" s="38">
        <f>IF(OR(C510&lt;&gt;"loan",E510=""),"",IF(ISNA(MATCH(E510,Units!$A$2:$A$501,0)),"",IF(INDEX(Units!$E$2:$E$501,MATCH(E510,Units!$A$2:$A$501,0))="","",IF(K510="","No due date",IF(INT(K510)&gt;INDEX(Units!$E$2:$E$501,MATCH(E510,Units!$A$2:$A$501,0)),"Past cal date","OK")))))</f>
      </c>
      <c r="R510" s="37">
        <f>IF(A510="Overdue",K510+ROW()/10000000,"")</f>
      </c>
    </row>
    <row r="511">
      <c r="A511" s="38">
        <f>IF(C511="","",IF(B511="","Needs ID",IF(OR(C511="loan",C511="send_out"),IF(COUNTIF($L$2:$L$1001,B511)&gt;0,"Closed",IF(K511="","Open",IF(K511&lt;NOW(),"Overdue","Open"))),IF(C511="return",IF(OR(L511="",COUNTIF($B$2:$B$1001,L511)=0),"No match",IF(OR(M511="worn",M511="damaged"),"Quarantine","Returned")),IF(C511="issue","Issued",IF(C511="transfer","Moved",IF(C511="write_off","Written off",IF(C511="unfilled","Unfilled",""))))))))</f>
      </c>
      <c r="B511" s="31"/>
      <c r="C511" s="35"/>
      <c r="D511" s="33"/>
      <c r="E511" s="31"/>
      <c r="F511" s="31"/>
      <c r="G511" s="37">
        <f>IF(F511="","",IF(ISNA(MATCH(F511,'Item master'!$A$2:$A$301,0)),"Not in Item master",IFERROR(INDEX('Item master'!$B$2:$B$301,MATCH(F511,'Item master'!$A$2:$A$301,0))&amp;"","")))</f>
      </c>
      <c r="H511" s="34"/>
      <c r="I511" s="31"/>
      <c r="J511" s="31"/>
      <c r="K511" s="33"/>
      <c r="L511" s="31"/>
      <c r="M511" s="35"/>
      <c r="N511" s="30"/>
      <c r="O511" s="30"/>
      <c r="P511" s="36"/>
      <c r="Q511" s="38">
        <f>IF(OR(C511&lt;&gt;"loan",E511=""),"",IF(ISNA(MATCH(E511,Units!$A$2:$A$501,0)),"",IF(INDEX(Units!$E$2:$E$501,MATCH(E511,Units!$A$2:$A$501,0))="","",IF(K511="","No due date",IF(INT(K511)&gt;INDEX(Units!$E$2:$E$501,MATCH(E511,Units!$A$2:$A$501,0)),"Past cal date","OK")))))</f>
      </c>
      <c r="R511" s="37">
        <f>IF(A511="Overdue",K511+ROW()/10000000,"")</f>
      </c>
    </row>
    <row r="512">
      <c r="A512" s="38">
        <f>IF(C512="","",IF(B512="","Needs ID",IF(OR(C512="loan",C512="send_out"),IF(COUNTIF($L$2:$L$1001,B512)&gt;0,"Closed",IF(K512="","Open",IF(K512&lt;NOW(),"Overdue","Open"))),IF(C512="return",IF(OR(L512="",COUNTIF($B$2:$B$1001,L512)=0),"No match",IF(OR(M512="worn",M512="damaged"),"Quarantine","Returned")),IF(C512="issue","Issued",IF(C512="transfer","Moved",IF(C512="write_off","Written off",IF(C512="unfilled","Unfilled",""))))))))</f>
      </c>
      <c r="B512" s="31"/>
      <c r="C512" s="35"/>
      <c r="D512" s="33"/>
      <c r="E512" s="31"/>
      <c r="F512" s="31"/>
      <c r="G512" s="37">
        <f>IF(F512="","",IF(ISNA(MATCH(F512,'Item master'!$A$2:$A$301,0)),"Not in Item master",IFERROR(INDEX('Item master'!$B$2:$B$301,MATCH(F512,'Item master'!$A$2:$A$301,0))&amp;"","")))</f>
      </c>
      <c r="H512" s="34"/>
      <c r="I512" s="31"/>
      <c r="J512" s="31"/>
      <c r="K512" s="33"/>
      <c r="L512" s="31"/>
      <c r="M512" s="35"/>
      <c r="N512" s="30"/>
      <c r="O512" s="30"/>
      <c r="P512" s="36"/>
      <c r="Q512" s="38">
        <f>IF(OR(C512&lt;&gt;"loan",E512=""),"",IF(ISNA(MATCH(E512,Units!$A$2:$A$501,0)),"",IF(INDEX(Units!$E$2:$E$501,MATCH(E512,Units!$A$2:$A$501,0))="","",IF(K512="","No due date",IF(INT(K512)&gt;INDEX(Units!$E$2:$E$501,MATCH(E512,Units!$A$2:$A$501,0)),"Past cal date","OK")))))</f>
      </c>
      <c r="R512" s="37">
        <f>IF(A512="Overdue",K512+ROW()/10000000,"")</f>
      </c>
    </row>
    <row r="513">
      <c r="A513" s="38">
        <f>IF(C513="","",IF(B513="","Needs ID",IF(OR(C513="loan",C513="send_out"),IF(COUNTIF($L$2:$L$1001,B513)&gt;0,"Closed",IF(K513="","Open",IF(K513&lt;NOW(),"Overdue","Open"))),IF(C513="return",IF(OR(L513="",COUNTIF($B$2:$B$1001,L513)=0),"No match",IF(OR(M513="worn",M513="damaged"),"Quarantine","Returned")),IF(C513="issue","Issued",IF(C513="transfer","Moved",IF(C513="write_off","Written off",IF(C513="unfilled","Unfilled",""))))))))</f>
      </c>
      <c r="B513" s="31"/>
      <c r="C513" s="35"/>
      <c r="D513" s="33"/>
      <c r="E513" s="31"/>
      <c r="F513" s="31"/>
      <c r="G513" s="37">
        <f>IF(F513="","",IF(ISNA(MATCH(F513,'Item master'!$A$2:$A$301,0)),"Not in Item master",IFERROR(INDEX('Item master'!$B$2:$B$301,MATCH(F513,'Item master'!$A$2:$A$301,0))&amp;"","")))</f>
      </c>
      <c r="H513" s="34"/>
      <c r="I513" s="31"/>
      <c r="J513" s="31"/>
      <c r="K513" s="33"/>
      <c r="L513" s="31"/>
      <c r="M513" s="35"/>
      <c r="N513" s="30"/>
      <c r="O513" s="30"/>
      <c r="P513" s="36"/>
      <c r="Q513" s="38">
        <f>IF(OR(C513&lt;&gt;"loan",E513=""),"",IF(ISNA(MATCH(E513,Units!$A$2:$A$501,0)),"",IF(INDEX(Units!$E$2:$E$501,MATCH(E513,Units!$A$2:$A$501,0))="","",IF(K513="","No due date",IF(INT(K513)&gt;INDEX(Units!$E$2:$E$501,MATCH(E513,Units!$A$2:$A$501,0)),"Past cal date","OK")))))</f>
      </c>
      <c r="R513" s="37">
        <f>IF(A513="Overdue",K513+ROW()/10000000,"")</f>
      </c>
    </row>
    <row r="514">
      <c r="A514" s="38">
        <f>IF(C514="","",IF(B514="","Needs ID",IF(OR(C514="loan",C514="send_out"),IF(COUNTIF($L$2:$L$1001,B514)&gt;0,"Closed",IF(K514="","Open",IF(K514&lt;NOW(),"Overdue","Open"))),IF(C514="return",IF(OR(L514="",COUNTIF($B$2:$B$1001,L514)=0),"No match",IF(OR(M514="worn",M514="damaged"),"Quarantine","Returned")),IF(C514="issue","Issued",IF(C514="transfer","Moved",IF(C514="write_off","Written off",IF(C514="unfilled","Unfilled",""))))))))</f>
      </c>
      <c r="B514" s="31"/>
      <c r="C514" s="35"/>
      <c r="D514" s="33"/>
      <c r="E514" s="31"/>
      <c r="F514" s="31"/>
      <c r="G514" s="37">
        <f>IF(F514="","",IF(ISNA(MATCH(F514,'Item master'!$A$2:$A$301,0)),"Not in Item master",IFERROR(INDEX('Item master'!$B$2:$B$301,MATCH(F514,'Item master'!$A$2:$A$301,0))&amp;"","")))</f>
      </c>
      <c r="H514" s="34"/>
      <c r="I514" s="31"/>
      <c r="J514" s="31"/>
      <c r="K514" s="33"/>
      <c r="L514" s="31"/>
      <c r="M514" s="35"/>
      <c r="N514" s="30"/>
      <c r="O514" s="30"/>
      <c r="P514" s="36"/>
      <c r="Q514" s="38">
        <f>IF(OR(C514&lt;&gt;"loan",E514=""),"",IF(ISNA(MATCH(E514,Units!$A$2:$A$501,0)),"",IF(INDEX(Units!$E$2:$E$501,MATCH(E514,Units!$A$2:$A$501,0))="","",IF(K514="","No due date",IF(INT(K514)&gt;INDEX(Units!$E$2:$E$501,MATCH(E514,Units!$A$2:$A$501,0)),"Past cal date","OK")))))</f>
      </c>
      <c r="R514" s="37">
        <f>IF(A514="Overdue",K514+ROW()/10000000,"")</f>
      </c>
    </row>
    <row r="515">
      <c r="A515" s="38">
        <f>IF(C515="","",IF(B515="","Needs ID",IF(OR(C515="loan",C515="send_out"),IF(COUNTIF($L$2:$L$1001,B515)&gt;0,"Closed",IF(K515="","Open",IF(K515&lt;NOW(),"Overdue","Open"))),IF(C515="return",IF(OR(L515="",COUNTIF($B$2:$B$1001,L515)=0),"No match",IF(OR(M515="worn",M515="damaged"),"Quarantine","Returned")),IF(C515="issue","Issued",IF(C515="transfer","Moved",IF(C515="write_off","Written off",IF(C515="unfilled","Unfilled",""))))))))</f>
      </c>
      <c r="B515" s="31"/>
      <c r="C515" s="35"/>
      <c r="D515" s="33"/>
      <c r="E515" s="31"/>
      <c r="F515" s="31"/>
      <c r="G515" s="37">
        <f>IF(F515="","",IF(ISNA(MATCH(F515,'Item master'!$A$2:$A$301,0)),"Not in Item master",IFERROR(INDEX('Item master'!$B$2:$B$301,MATCH(F515,'Item master'!$A$2:$A$301,0))&amp;"","")))</f>
      </c>
      <c r="H515" s="34"/>
      <c r="I515" s="31"/>
      <c r="J515" s="31"/>
      <c r="K515" s="33"/>
      <c r="L515" s="31"/>
      <c r="M515" s="35"/>
      <c r="N515" s="30"/>
      <c r="O515" s="30"/>
      <c r="P515" s="36"/>
      <c r="Q515" s="38">
        <f>IF(OR(C515&lt;&gt;"loan",E515=""),"",IF(ISNA(MATCH(E515,Units!$A$2:$A$501,0)),"",IF(INDEX(Units!$E$2:$E$501,MATCH(E515,Units!$A$2:$A$501,0))="","",IF(K515="","No due date",IF(INT(K515)&gt;INDEX(Units!$E$2:$E$501,MATCH(E515,Units!$A$2:$A$501,0)),"Past cal date","OK")))))</f>
      </c>
      <c r="R515" s="37">
        <f>IF(A515="Overdue",K515+ROW()/10000000,"")</f>
      </c>
    </row>
    <row r="516">
      <c r="A516" s="38">
        <f>IF(C516="","",IF(B516="","Needs ID",IF(OR(C516="loan",C516="send_out"),IF(COUNTIF($L$2:$L$1001,B516)&gt;0,"Closed",IF(K516="","Open",IF(K516&lt;NOW(),"Overdue","Open"))),IF(C516="return",IF(OR(L516="",COUNTIF($B$2:$B$1001,L516)=0),"No match",IF(OR(M516="worn",M516="damaged"),"Quarantine","Returned")),IF(C516="issue","Issued",IF(C516="transfer","Moved",IF(C516="write_off","Written off",IF(C516="unfilled","Unfilled",""))))))))</f>
      </c>
      <c r="B516" s="31"/>
      <c r="C516" s="35"/>
      <c r="D516" s="33"/>
      <c r="E516" s="31"/>
      <c r="F516" s="31"/>
      <c r="G516" s="37">
        <f>IF(F516="","",IF(ISNA(MATCH(F516,'Item master'!$A$2:$A$301,0)),"Not in Item master",IFERROR(INDEX('Item master'!$B$2:$B$301,MATCH(F516,'Item master'!$A$2:$A$301,0))&amp;"","")))</f>
      </c>
      <c r="H516" s="34"/>
      <c r="I516" s="31"/>
      <c r="J516" s="31"/>
      <c r="K516" s="33"/>
      <c r="L516" s="31"/>
      <c r="M516" s="35"/>
      <c r="N516" s="30"/>
      <c r="O516" s="30"/>
      <c r="P516" s="36"/>
      <c r="Q516" s="38">
        <f>IF(OR(C516&lt;&gt;"loan",E516=""),"",IF(ISNA(MATCH(E516,Units!$A$2:$A$501,0)),"",IF(INDEX(Units!$E$2:$E$501,MATCH(E516,Units!$A$2:$A$501,0))="","",IF(K516="","No due date",IF(INT(K516)&gt;INDEX(Units!$E$2:$E$501,MATCH(E516,Units!$A$2:$A$501,0)),"Past cal date","OK")))))</f>
      </c>
      <c r="R516" s="37">
        <f>IF(A516="Overdue",K516+ROW()/10000000,"")</f>
      </c>
    </row>
    <row r="517">
      <c r="A517" s="38">
        <f>IF(C517="","",IF(B517="","Needs ID",IF(OR(C517="loan",C517="send_out"),IF(COUNTIF($L$2:$L$1001,B517)&gt;0,"Closed",IF(K517="","Open",IF(K517&lt;NOW(),"Overdue","Open"))),IF(C517="return",IF(OR(L517="",COUNTIF($B$2:$B$1001,L517)=0),"No match",IF(OR(M517="worn",M517="damaged"),"Quarantine","Returned")),IF(C517="issue","Issued",IF(C517="transfer","Moved",IF(C517="write_off","Written off",IF(C517="unfilled","Unfilled",""))))))))</f>
      </c>
      <c r="B517" s="31"/>
      <c r="C517" s="35"/>
      <c r="D517" s="33"/>
      <c r="E517" s="31"/>
      <c r="F517" s="31"/>
      <c r="G517" s="37">
        <f>IF(F517="","",IF(ISNA(MATCH(F517,'Item master'!$A$2:$A$301,0)),"Not in Item master",IFERROR(INDEX('Item master'!$B$2:$B$301,MATCH(F517,'Item master'!$A$2:$A$301,0))&amp;"","")))</f>
      </c>
      <c r="H517" s="34"/>
      <c r="I517" s="31"/>
      <c r="J517" s="31"/>
      <c r="K517" s="33"/>
      <c r="L517" s="31"/>
      <c r="M517" s="35"/>
      <c r="N517" s="30"/>
      <c r="O517" s="30"/>
      <c r="P517" s="36"/>
      <c r="Q517" s="38">
        <f>IF(OR(C517&lt;&gt;"loan",E517=""),"",IF(ISNA(MATCH(E517,Units!$A$2:$A$501,0)),"",IF(INDEX(Units!$E$2:$E$501,MATCH(E517,Units!$A$2:$A$501,0))="","",IF(K517="","No due date",IF(INT(K517)&gt;INDEX(Units!$E$2:$E$501,MATCH(E517,Units!$A$2:$A$501,0)),"Past cal date","OK")))))</f>
      </c>
      <c r="R517" s="37">
        <f>IF(A517="Overdue",K517+ROW()/10000000,"")</f>
      </c>
    </row>
    <row r="518">
      <c r="A518" s="38">
        <f>IF(C518="","",IF(B518="","Needs ID",IF(OR(C518="loan",C518="send_out"),IF(COUNTIF($L$2:$L$1001,B518)&gt;0,"Closed",IF(K518="","Open",IF(K518&lt;NOW(),"Overdue","Open"))),IF(C518="return",IF(OR(L518="",COUNTIF($B$2:$B$1001,L518)=0),"No match",IF(OR(M518="worn",M518="damaged"),"Quarantine","Returned")),IF(C518="issue","Issued",IF(C518="transfer","Moved",IF(C518="write_off","Written off",IF(C518="unfilled","Unfilled",""))))))))</f>
      </c>
      <c r="B518" s="31"/>
      <c r="C518" s="35"/>
      <c r="D518" s="33"/>
      <c r="E518" s="31"/>
      <c r="F518" s="31"/>
      <c r="G518" s="37">
        <f>IF(F518="","",IF(ISNA(MATCH(F518,'Item master'!$A$2:$A$301,0)),"Not in Item master",IFERROR(INDEX('Item master'!$B$2:$B$301,MATCH(F518,'Item master'!$A$2:$A$301,0))&amp;"","")))</f>
      </c>
      <c r="H518" s="34"/>
      <c r="I518" s="31"/>
      <c r="J518" s="31"/>
      <c r="K518" s="33"/>
      <c r="L518" s="31"/>
      <c r="M518" s="35"/>
      <c r="N518" s="30"/>
      <c r="O518" s="30"/>
      <c r="P518" s="36"/>
      <c r="Q518" s="38">
        <f>IF(OR(C518&lt;&gt;"loan",E518=""),"",IF(ISNA(MATCH(E518,Units!$A$2:$A$501,0)),"",IF(INDEX(Units!$E$2:$E$501,MATCH(E518,Units!$A$2:$A$501,0))="","",IF(K518="","No due date",IF(INT(K518)&gt;INDEX(Units!$E$2:$E$501,MATCH(E518,Units!$A$2:$A$501,0)),"Past cal date","OK")))))</f>
      </c>
      <c r="R518" s="37">
        <f>IF(A518="Overdue",K518+ROW()/10000000,"")</f>
      </c>
    </row>
    <row r="519">
      <c r="A519" s="38">
        <f>IF(C519="","",IF(B519="","Needs ID",IF(OR(C519="loan",C519="send_out"),IF(COUNTIF($L$2:$L$1001,B519)&gt;0,"Closed",IF(K519="","Open",IF(K519&lt;NOW(),"Overdue","Open"))),IF(C519="return",IF(OR(L519="",COUNTIF($B$2:$B$1001,L519)=0),"No match",IF(OR(M519="worn",M519="damaged"),"Quarantine","Returned")),IF(C519="issue","Issued",IF(C519="transfer","Moved",IF(C519="write_off","Written off",IF(C519="unfilled","Unfilled",""))))))))</f>
      </c>
      <c r="B519" s="31"/>
      <c r="C519" s="35"/>
      <c r="D519" s="33"/>
      <c r="E519" s="31"/>
      <c r="F519" s="31"/>
      <c r="G519" s="37">
        <f>IF(F519="","",IF(ISNA(MATCH(F519,'Item master'!$A$2:$A$301,0)),"Not in Item master",IFERROR(INDEX('Item master'!$B$2:$B$301,MATCH(F519,'Item master'!$A$2:$A$301,0))&amp;"","")))</f>
      </c>
      <c r="H519" s="34"/>
      <c r="I519" s="31"/>
      <c r="J519" s="31"/>
      <c r="K519" s="33"/>
      <c r="L519" s="31"/>
      <c r="M519" s="35"/>
      <c r="N519" s="30"/>
      <c r="O519" s="30"/>
      <c r="P519" s="36"/>
      <c r="Q519" s="38">
        <f>IF(OR(C519&lt;&gt;"loan",E519=""),"",IF(ISNA(MATCH(E519,Units!$A$2:$A$501,0)),"",IF(INDEX(Units!$E$2:$E$501,MATCH(E519,Units!$A$2:$A$501,0))="","",IF(K519="","No due date",IF(INT(K519)&gt;INDEX(Units!$E$2:$E$501,MATCH(E519,Units!$A$2:$A$501,0)),"Past cal date","OK")))))</f>
      </c>
      <c r="R519" s="37">
        <f>IF(A519="Overdue",K519+ROW()/10000000,"")</f>
      </c>
    </row>
    <row r="520">
      <c r="A520" s="38">
        <f>IF(C520="","",IF(B520="","Needs ID",IF(OR(C520="loan",C520="send_out"),IF(COUNTIF($L$2:$L$1001,B520)&gt;0,"Closed",IF(K520="","Open",IF(K520&lt;NOW(),"Overdue","Open"))),IF(C520="return",IF(OR(L520="",COUNTIF($B$2:$B$1001,L520)=0),"No match",IF(OR(M520="worn",M520="damaged"),"Quarantine","Returned")),IF(C520="issue","Issued",IF(C520="transfer","Moved",IF(C520="write_off","Written off",IF(C520="unfilled","Unfilled",""))))))))</f>
      </c>
      <c r="B520" s="31"/>
      <c r="C520" s="35"/>
      <c r="D520" s="33"/>
      <c r="E520" s="31"/>
      <c r="F520" s="31"/>
      <c r="G520" s="37">
        <f>IF(F520="","",IF(ISNA(MATCH(F520,'Item master'!$A$2:$A$301,0)),"Not in Item master",IFERROR(INDEX('Item master'!$B$2:$B$301,MATCH(F520,'Item master'!$A$2:$A$301,0))&amp;"","")))</f>
      </c>
      <c r="H520" s="34"/>
      <c r="I520" s="31"/>
      <c r="J520" s="31"/>
      <c r="K520" s="33"/>
      <c r="L520" s="31"/>
      <c r="M520" s="35"/>
      <c r="N520" s="30"/>
      <c r="O520" s="30"/>
      <c r="P520" s="36"/>
      <c r="Q520" s="38">
        <f>IF(OR(C520&lt;&gt;"loan",E520=""),"",IF(ISNA(MATCH(E520,Units!$A$2:$A$501,0)),"",IF(INDEX(Units!$E$2:$E$501,MATCH(E520,Units!$A$2:$A$501,0))="","",IF(K520="","No due date",IF(INT(K520)&gt;INDEX(Units!$E$2:$E$501,MATCH(E520,Units!$A$2:$A$501,0)),"Past cal date","OK")))))</f>
      </c>
      <c r="R520" s="37">
        <f>IF(A520="Overdue",K520+ROW()/10000000,"")</f>
      </c>
    </row>
    <row r="521">
      <c r="A521" s="38">
        <f>IF(C521="","",IF(B521="","Needs ID",IF(OR(C521="loan",C521="send_out"),IF(COUNTIF($L$2:$L$1001,B521)&gt;0,"Closed",IF(K521="","Open",IF(K521&lt;NOW(),"Overdue","Open"))),IF(C521="return",IF(OR(L521="",COUNTIF($B$2:$B$1001,L521)=0),"No match",IF(OR(M521="worn",M521="damaged"),"Quarantine","Returned")),IF(C521="issue","Issued",IF(C521="transfer","Moved",IF(C521="write_off","Written off",IF(C521="unfilled","Unfilled",""))))))))</f>
      </c>
      <c r="B521" s="31"/>
      <c r="C521" s="35"/>
      <c r="D521" s="33"/>
      <c r="E521" s="31"/>
      <c r="F521" s="31"/>
      <c r="G521" s="37">
        <f>IF(F521="","",IF(ISNA(MATCH(F521,'Item master'!$A$2:$A$301,0)),"Not in Item master",IFERROR(INDEX('Item master'!$B$2:$B$301,MATCH(F521,'Item master'!$A$2:$A$301,0))&amp;"","")))</f>
      </c>
      <c r="H521" s="34"/>
      <c r="I521" s="31"/>
      <c r="J521" s="31"/>
      <c r="K521" s="33"/>
      <c r="L521" s="31"/>
      <c r="M521" s="35"/>
      <c r="N521" s="30"/>
      <c r="O521" s="30"/>
      <c r="P521" s="36"/>
      <c r="Q521" s="38">
        <f>IF(OR(C521&lt;&gt;"loan",E521=""),"",IF(ISNA(MATCH(E521,Units!$A$2:$A$501,0)),"",IF(INDEX(Units!$E$2:$E$501,MATCH(E521,Units!$A$2:$A$501,0))="","",IF(K521="","No due date",IF(INT(K521)&gt;INDEX(Units!$E$2:$E$501,MATCH(E521,Units!$A$2:$A$501,0)),"Past cal date","OK")))))</f>
      </c>
      <c r="R521" s="37">
        <f>IF(A521="Overdue",K521+ROW()/10000000,"")</f>
      </c>
    </row>
    <row r="522">
      <c r="A522" s="38">
        <f>IF(C522="","",IF(B522="","Needs ID",IF(OR(C522="loan",C522="send_out"),IF(COUNTIF($L$2:$L$1001,B522)&gt;0,"Closed",IF(K522="","Open",IF(K522&lt;NOW(),"Overdue","Open"))),IF(C522="return",IF(OR(L522="",COUNTIF($B$2:$B$1001,L522)=0),"No match",IF(OR(M522="worn",M522="damaged"),"Quarantine","Returned")),IF(C522="issue","Issued",IF(C522="transfer","Moved",IF(C522="write_off","Written off",IF(C522="unfilled","Unfilled",""))))))))</f>
      </c>
      <c r="B522" s="31"/>
      <c r="C522" s="35"/>
      <c r="D522" s="33"/>
      <c r="E522" s="31"/>
      <c r="F522" s="31"/>
      <c r="G522" s="37">
        <f>IF(F522="","",IF(ISNA(MATCH(F522,'Item master'!$A$2:$A$301,0)),"Not in Item master",IFERROR(INDEX('Item master'!$B$2:$B$301,MATCH(F522,'Item master'!$A$2:$A$301,0))&amp;"","")))</f>
      </c>
      <c r="H522" s="34"/>
      <c r="I522" s="31"/>
      <c r="J522" s="31"/>
      <c r="K522" s="33"/>
      <c r="L522" s="31"/>
      <c r="M522" s="35"/>
      <c r="N522" s="30"/>
      <c r="O522" s="30"/>
      <c r="P522" s="36"/>
      <c r="Q522" s="38">
        <f>IF(OR(C522&lt;&gt;"loan",E522=""),"",IF(ISNA(MATCH(E522,Units!$A$2:$A$501,0)),"",IF(INDEX(Units!$E$2:$E$501,MATCH(E522,Units!$A$2:$A$501,0))="","",IF(K522="","No due date",IF(INT(K522)&gt;INDEX(Units!$E$2:$E$501,MATCH(E522,Units!$A$2:$A$501,0)),"Past cal date","OK")))))</f>
      </c>
      <c r="R522" s="37">
        <f>IF(A522="Overdue",K522+ROW()/10000000,"")</f>
      </c>
    </row>
    <row r="523">
      <c r="A523" s="38">
        <f>IF(C523="","",IF(B523="","Needs ID",IF(OR(C523="loan",C523="send_out"),IF(COUNTIF($L$2:$L$1001,B523)&gt;0,"Closed",IF(K523="","Open",IF(K523&lt;NOW(),"Overdue","Open"))),IF(C523="return",IF(OR(L523="",COUNTIF($B$2:$B$1001,L523)=0),"No match",IF(OR(M523="worn",M523="damaged"),"Quarantine","Returned")),IF(C523="issue","Issued",IF(C523="transfer","Moved",IF(C523="write_off","Written off",IF(C523="unfilled","Unfilled",""))))))))</f>
      </c>
      <c r="B523" s="31"/>
      <c r="C523" s="35"/>
      <c r="D523" s="33"/>
      <c r="E523" s="31"/>
      <c r="F523" s="31"/>
      <c r="G523" s="37">
        <f>IF(F523="","",IF(ISNA(MATCH(F523,'Item master'!$A$2:$A$301,0)),"Not in Item master",IFERROR(INDEX('Item master'!$B$2:$B$301,MATCH(F523,'Item master'!$A$2:$A$301,0))&amp;"","")))</f>
      </c>
      <c r="H523" s="34"/>
      <c r="I523" s="31"/>
      <c r="J523" s="31"/>
      <c r="K523" s="33"/>
      <c r="L523" s="31"/>
      <c r="M523" s="35"/>
      <c r="N523" s="30"/>
      <c r="O523" s="30"/>
      <c r="P523" s="36"/>
      <c r="Q523" s="38">
        <f>IF(OR(C523&lt;&gt;"loan",E523=""),"",IF(ISNA(MATCH(E523,Units!$A$2:$A$501,0)),"",IF(INDEX(Units!$E$2:$E$501,MATCH(E523,Units!$A$2:$A$501,0))="","",IF(K523="","No due date",IF(INT(K523)&gt;INDEX(Units!$E$2:$E$501,MATCH(E523,Units!$A$2:$A$501,0)),"Past cal date","OK")))))</f>
      </c>
      <c r="R523" s="37">
        <f>IF(A523="Overdue",K523+ROW()/10000000,"")</f>
      </c>
    </row>
    <row r="524">
      <c r="A524" s="38">
        <f>IF(C524="","",IF(B524="","Needs ID",IF(OR(C524="loan",C524="send_out"),IF(COUNTIF($L$2:$L$1001,B524)&gt;0,"Closed",IF(K524="","Open",IF(K524&lt;NOW(),"Overdue","Open"))),IF(C524="return",IF(OR(L524="",COUNTIF($B$2:$B$1001,L524)=0),"No match",IF(OR(M524="worn",M524="damaged"),"Quarantine","Returned")),IF(C524="issue","Issued",IF(C524="transfer","Moved",IF(C524="write_off","Written off",IF(C524="unfilled","Unfilled",""))))))))</f>
      </c>
      <c r="B524" s="31"/>
      <c r="C524" s="35"/>
      <c r="D524" s="33"/>
      <c r="E524" s="31"/>
      <c r="F524" s="31"/>
      <c r="G524" s="37">
        <f>IF(F524="","",IF(ISNA(MATCH(F524,'Item master'!$A$2:$A$301,0)),"Not in Item master",IFERROR(INDEX('Item master'!$B$2:$B$301,MATCH(F524,'Item master'!$A$2:$A$301,0))&amp;"","")))</f>
      </c>
      <c r="H524" s="34"/>
      <c r="I524" s="31"/>
      <c r="J524" s="31"/>
      <c r="K524" s="33"/>
      <c r="L524" s="31"/>
      <c r="M524" s="35"/>
      <c r="N524" s="30"/>
      <c r="O524" s="30"/>
      <c r="P524" s="36"/>
      <c r="Q524" s="38">
        <f>IF(OR(C524&lt;&gt;"loan",E524=""),"",IF(ISNA(MATCH(E524,Units!$A$2:$A$501,0)),"",IF(INDEX(Units!$E$2:$E$501,MATCH(E524,Units!$A$2:$A$501,0))="","",IF(K524="","No due date",IF(INT(K524)&gt;INDEX(Units!$E$2:$E$501,MATCH(E524,Units!$A$2:$A$501,0)),"Past cal date","OK")))))</f>
      </c>
      <c r="R524" s="37">
        <f>IF(A524="Overdue",K524+ROW()/10000000,"")</f>
      </c>
    </row>
    <row r="525">
      <c r="A525" s="38">
        <f>IF(C525="","",IF(B525="","Needs ID",IF(OR(C525="loan",C525="send_out"),IF(COUNTIF($L$2:$L$1001,B525)&gt;0,"Closed",IF(K525="","Open",IF(K525&lt;NOW(),"Overdue","Open"))),IF(C525="return",IF(OR(L525="",COUNTIF($B$2:$B$1001,L525)=0),"No match",IF(OR(M525="worn",M525="damaged"),"Quarantine","Returned")),IF(C525="issue","Issued",IF(C525="transfer","Moved",IF(C525="write_off","Written off",IF(C525="unfilled","Unfilled",""))))))))</f>
      </c>
      <c r="B525" s="31"/>
      <c r="C525" s="35"/>
      <c r="D525" s="33"/>
      <c r="E525" s="31"/>
      <c r="F525" s="31"/>
      <c r="G525" s="37">
        <f>IF(F525="","",IF(ISNA(MATCH(F525,'Item master'!$A$2:$A$301,0)),"Not in Item master",IFERROR(INDEX('Item master'!$B$2:$B$301,MATCH(F525,'Item master'!$A$2:$A$301,0))&amp;"","")))</f>
      </c>
      <c r="H525" s="34"/>
      <c r="I525" s="31"/>
      <c r="J525" s="31"/>
      <c r="K525" s="33"/>
      <c r="L525" s="31"/>
      <c r="M525" s="35"/>
      <c r="N525" s="30"/>
      <c r="O525" s="30"/>
      <c r="P525" s="36"/>
      <c r="Q525" s="38">
        <f>IF(OR(C525&lt;&gt;"loan",E525=""),"",IF(ISNA(MATCH(E525,Units!$A$2:$A$501,0)),"",IF(INDEX(Units!$E$2:$E$501,MATCH(E525,Units!$A$2:$A$501,0))="","",IF(K525="","No due date",IF(INT(K525)&gt;INDEX(Units!$E$2:$E$501,MATCH(E525,Units!$A$2:$A$501,0)),"Past cal date","OK")))))</f>
      </c>
      <c r="R525" s="37">
        <f>IF(A525="Overdue",K525+ROW()/10000000,"")</f>
      </c>
    </row>
    <row r="526">
      <c r="A526" s="38">
        <f>IF(C526="","",IF(B526="","Needs ID",IF(OR(C526="loan",C526="send_out"),IF(COUNTIF($L$2:$L$1001,B526)&gt;0,"Closed",IF(K526="","Open",IF(K526&lt;NOW(),"Overdue","Open"))),IF(C526="return",IF(OR(L526="",COUNTIF($B$2:$B$1001,L526)=0),"No match",IF(OR(M526="worn",M526="damaged"),"Quarantine","Returned")),IF(C526="issue","Issued",IF(C526="transfer","Moved",IF(C526="write_off","Written off",IF(C526="unfilled","Unfilled",""))))))))</f>
      </c>
      <c r="B526" s="31"/>
      <c r="C526" s="35"/>
      <c r="D526" s="33"/>
      <c r="E526" s="31"/>
      <c r="F526" s="31"/>
      <c r="G526" s="37">
        <f>IF(F526="","",IF(ISNA(MATCH(F526,'Item master'!$A$2:$A$301,0)),"Not in Item master",IFERROR(INDEX('Item master'!$B$2:$B$301,MATCH(F526,'Item master'!$A$2:$A$301,0))&amp;"","")))</f>
      </c>
      <c r="H526" s="34"/>
      <c r="I526" s="31"/>
      <c r="J526" s="31"/>
      <c r="K526" s="33"/>
      <c r="L526" s="31"/>
      <c r="M526" s="35"/>
      <c r="N526" s="30"/>
      <c r="O526" s="30"/>
      <c r="P526" s="36"/>
      <c r="Q526" s="38">
        <f>IF(OR(C526&lt;&gt;"loan",E526=""),"",IF(ISNA(MATCH(E526,Units!$A$2:$A$501,0)),"",IF(INDEX(Units!$E$2:$E$501,MATCH(E526,Units!$A$2:$A$501,0))="","",IF(K526="","No due date",IF(INT(K526)&gt;INDEX(Units!$E$2:$E$501,MATCH(E526,Units!$A$2:$A$501,0)),"Past cal date","OK")))))</f>
      </c>
      <c r="R526" s="37">
        <f>IF(A526="Overdue",K526+ROW()/10000000,"")</f>
      </c>
    </row>
    <row r="527">
      <c r="A527" s="38">
        <f>IF(C527="","",IF(B527="","Needs ID",IF(OR(C527="loan",C527="send_out"),IF(COUNTIF($L$2:$L$1001,B527)&gt;0,"Closed",IF(K527="","Open",IF(K527&lt;NOW(),"Overdue","Open"))),IF(C527="return",IF(OR(L527="",COUNTIF($B$2:$B$1001,L527)=0),"No match",IF(OR(M527="worn",M527="damaged"),"Quarantine","Returned")),IF(C527="issue","Issued",IF(C527="transfer","Moved",IF(C527="write_off","Written off",IF(C527="unfilled","Unfilled",""))))))))</f>
      </c>
      <c r="B527" s="31"/>
      <c r="C527" s="35"/>
      <c r="D527" s="33"/>
      <c r="E527" s="31"/>
      <c r="F527" s="31"/>
      <c r="G527" s="37">
        <f>IF(F527="","",IF(ISNA(MATCH(F527,'Item master'!$A$2:$A$301,0)),"Not in Item master",IFERROR(INDEX('Item master'!$B$2:$B$301,MATCH(F527,'Item master'!$A$2:$A$301,0))&amp;"","")))</f>
      </c>
      <c r="H527" s="34"/>
      <c r="I527" s="31"/>
      <c r="J527" s="31"/>
      <c r="K527" s="33"/>
      <c r="L527" s="31"/>
      <c r="M527" s="35"/>
      <c r="N527" s="30"/>
      <c r="O527" s="30"/>
      <c r="P527" s="36"/>
      <c r="Q527" s="38">
        <f>IF(OR(C527&lt;&gt;"loan",E527=""),"",IF(ISNA(MATCH(E527,Units!$A$2:$A$501,0)),"",IF(INDEX(Units!$E$2:$E$501,MATCH(E527,Units!$A$2:$A$501,0))="","",IF(K527="","No due date",IF(INT(K527)&gt;INDEX(Units!$E$2:$E$501,MATCH(E527,Units!$A$2:$A$501,0)),"Past cal date","OK")))))</f>
      </c>
      <c r="R527" s="37">
        <f>IF(A527="Overdue",K527+ROW()/10000000,"")</f>
      </c>
    </row>
    <row r="528">
      <c r="A528" s="38">
        <f>IF(C528="","",IF(B528="","Needs ID",IF(OR(C528="loan",C528="send_out"),IF(COUNTIF($L$2:$L$1001,B528)&gt;0,"Closed",IF(K528="","Open",IF(K528&lt;NOW(),"Overdue","Open"))),IF(C528="return",IF(OR(L528="",COUNTIF($B$2:$B$1001,L528)=0),"No match",IF(OR(M528="worn",M528="damaged"),"Quarantine","Returned")),IF(C528="issue","Issued",IF(C528="transfer","Moved",IF(C528="write_off","Written off",IF(C528="unfilled","Unfilled",""))))))))</f>
      </c>
      <c r="B528" s="31"/>
      <c r="C528" s="35"/>
      <c r="D528" s="33"/>
      <c r="E528" s="31"/>
      <c r="F528" s="31"/>
      <c r="G528" s="37">
        <f>IF(F528="","",IF(ISNA(MATCH(F528,'Item master'!$A$2:$A$301,0)),"Not in Item master",IFERROR(INDEX('Item master'!$B$2:$B$301,MATCH(F528,'Item master'!$A$2:$A$301,0))&amp;"","")))</f>
      </c>
      <c r="H528" s="34"/>
      <c r="I528" s="31"/>
      <c r="J528" s="31"/>
      <c r="K528" s="33"/>
      <c r="L528" s="31"/>
      <c r="M528" s="35"/>
      <c r="N528" s="30"/>
      <c r="O528" s="30"/>
      <c r="P528" s="36"/>
      <c r="Q528" s="38">
        <f>IF(OR(C528&lt;&gt;"loan",E528=""),"",IF(ISNA(MATCH(E528,Units!$A$2:$A$501,0)),"",IF(INDEX(Units!$E$2:$E$501,MATCH(E528,Units!$A$2:$A$501,0))="","",IF(K528="","No due date",IF(INT(K528)&gt;INDEX(Units!$E$2:$E$501,MATCH(E528,Units!$A$2:$A$501,0)),"Past cal date","OK")))))</f>
      </c>
      <c r="R528" s="37">
        <f>IF(A528="Overdue",K528+ROW()/10000000,"")</f>
      </c>
    </row>
    <row r="529">
      <c r="A529" s="38">
        <f>IF(C529="","",IF(B529="","Needs ID",IF(OR(C529="loan",C529="send_out"),IF(COUNTIF($L$2:$L$1001,B529)&gt;0,"Closed",IF(K529="","Open",IF(K529&lt;NOW(),"Overdue","Open"))),IF(C529="return",IF(OR(L529="",COUNTIF($B$2:$B$1001,L529)=0),"No match",IF(OR(M529="worn",M529="damaged"),"Quarantine","Returned")),IF(C529="issue","Issued",IF(C529="transfer","Moved",IF(C529="write_off","Written off",IF(C529="unfilled","Unfilled",""))))))))</f>
      </c>
      <c r="B529" s="31"/>
      <c r="C529" s="35"/>
      <c r="D529" s="33"/>
      <c r="E529" s="31"/>
      <c r="F529" s="31"/>
      <c r="G529" s="37">
        <f>IF(F529="","",IF(ISNA(MATCH(F529,'Item master'!$A$2:$A$301,0)),"Not in Item master",IFERROR(INDEX('Item master'!$B$2:$B$301,MATCH(F529,'Item master'!$A$2:$A$301,0))&amp;"","")))</f>
      </c>
      <c r="H529" s="34"/>
      <c r="I529" s="31"/>
      <c r="J529" s="31"/>
      <c r="K529" s="33"/>
      <c r="L529" s="31"/>
      <c r="M529" s="35"/>
      <c r="N529" s="30"/>
      <c r="O529" s="30"/>
      <c r="P529" s="36"/>
      <c r="Q529" s="38">
        <f>IF(OR(C529&lt;&gt;"loan",E529=""),"",IF(ISNA(MATCH(E529,Units!$A$2:$A$501,0)),"",IF(INDEX(Units!$E$2:$E$501,MATCH(E529,Units!$A$2:$A$501,0))="","",IF(K529="","No due date",IF(INT(K529)&gt;INDEX(Units!$E$2:$E$501,MATCH(E529,Units!$A$2:$A$501,0)),"Past cal date","OK")))))</f>
      </c>
      <c r="R529" s="37">
        <f>IF(A529="Overdue",K529+ROW()/10000000,"")</f>
      </c>
    </row>
    <row r="530">
      <c r="A530" s="38">
        <f>IF(C530="","",IF(B530="","Needs ID",IF(OR(C530="loan",C530="send_out"),IF(COUNTIF($L$2:$L$1001,B530)&gt;0,"Closed",IF(K530="","Open",IF(K530&lt;NOW(),"Overdue","Open"))),IF(C530="return",IF(OR(L530="",COUNTIF($B$2:$B$1001,L530)=0),"No match",IF(OR(M530="worn",M530="damaged"),"Quarantine","Returned")),IF(C530="issue","Issued",IF(C530="transfer","Moved",IF(C530="write_off","Written off",IF(C530="unfilled","Unfilled",""))))))))</f>
      </c>
      <c r="B530" s="31"/>
      <c r="C530" s="35"/>
      <c r="D530" s="33"/>
      <c r="E530" s="31"/>
      <c r="F530" s="31"/>
      <c r="G530" s="37">
        <f>IF(F530="","",IF(ISNA(MATCH(F530,'Item master'!$A$2:$A$301,0)),"Not in Item master",IFERROR(INDEX('Item master'!$B$2:$B$301,MATCH(F530,'Item master'!$A$2:$A$301,0))&amp;"","")))</f>
      </c>
      <c r="H530" s="34"/>
      <c r="I530" s="31"/>
      <c r="J530" s="31"/>
      <c r="K530" s="33"/>
      <c r="L530" s="31"/>
      <c r="M530" s="35"/>
      <c r="N530" s="30"/>
      <c r="O530" s="30"/>
      <c r="P530" s="36"/>
      <c r="Q530" s="38">
        <f>IF(OR(C530&lt;&gt;"loan",E530=""),"",IF(ISNA(MATCH(E530,Units!$A$2:$A$501,0)),"",IF(INDEX(Units!$E$2:$E$501,MATCH(E530,Units!$A$2:$A$501,0))="","",IF(K530="","No due date",IF(INT(K530)&gt;INDEX(Units!$E$2:$E$501,MATCH(E530,Units!$A$2:$A$501,0)),"Past cal date","OK")))))</f>
      </c>
      <c r="R530" s="37">
        <f>IF(A530="Overdue",K530+ROW()/10000000,"")</f>
      </c>
    </row>
    <row r="531">
      <c r="A531" s="38">
        <f>IF(C531="","",IF(B531="","Needs ID",IF(OR(C531="loan",C531="send_out"),IF(COUNTIF($L$2:$L$1001,B531)&gt;0,"Closed",IF(K531="","Open",IF(K531&lt;NOW(),"Overdue","Open"))),IF(C531="return",IF(OR(L531="",COUNTIF($B$2:$B$1001,L531)=0),"No match",IF(OR(M531="worn",M531="damaged"),"Quarantine","Returned")),IF(C531="issue","Issued",IF(C531="transfer","Moved",IF(C531="write_off","Written off",IF(C531="unfilled","Unfilled",""))))))))</f>
      </c>
      <c r="B531" s="31"/>
      <c r="C531" s="35"/>
      <c r="D531" s="33"/>
      <c r="E531" s="31"/>
      <c r="F531" s="31"/>
      <c r="G531" s="37">
        <f>IF(F531="","",IF(ISNA(MATCH(F531,'Item master'!$A$2:$A$301,0)),"Not in Item master",IFERROR(INDEX('Item master'!$B$2:$B$301,MATCH(F531,'Item master'!$A$2:$A$301,0))&amp;"","")))</f>
      </c>
      <c r="H531" s="34"/>
      <c r="I531" s="31"/>
      <c r="J531" s="31"/>
      <c r="K531" s="33"/>
      <c r="L531" s="31"/>
      <c r="M531" s="35"/>
      <c r="N531" s="30"/>
      <c r="O531" s="30"/>
      <c r="P531" s="36"/>
      <c r="Q531" s="38">
        <f>IF(OR(C531&lt;&gt;"loan",E531=""),"",IF(ISNA(MATCH(E531,Units!$A$2:$A$501,0)),"",IF(INDEX(Units!$E$2:$E$501,MATCH(E531,Units!$A$2:$A$501,0))="","",IF(K531="","No due date",IF(INT(K531)&gt;INDEX(Units!$E$2:$E$501,MATCH(E531,Units!$A$2:$A$501,0)),"Past cal date","OK")))))</f>
      </c>
      <c r="R531" s="37">
        <f>IF(A531="Overdue",K531+ROW()/10000000,"")</f>
      </c>
    </row>
    <row r="532">
      <c r="A532" s="38">
        <f>IF(C532="","",IF(B532="","Needs ID",IF(OR(C532="loan",C532="send_out"),IF(COUNTIF($L$2:$L$1001,B532)&gt;0,"Closed",IF(K532="","Open",IF(K532&lt;NOW(),"Overdue","Open"))),IF(C532="return",IF(OR(L532="",COUNTIF($B$2:$B$1001,L532)=0),"No match",IF(OR(M532="worn",M532="damaged"),"Quarantine","Returned")),IF(C532="issue","Issued",IF(C532="transfer","Moved",IF(C532="write_off","Written off",IF(C532="unfilled","Unfilled",""))))))))</f>
      </c>
      <c r="B532" s="31"/>
      <c r="C532" s="35"/>
      <c r="D532" s="33"/>
      <c r="E532" s="31"/>
      <c r="F532" s="31"/>
      <c r="G532" s="37">
        <f>IF(F532="","",IF(ISNA(MATCH(F532,'Item master'!$A$2:$A$301,0)),"Not in Item master",IFERROR(INDEX('Item master'!$B$2:$B$301,MATCH(F532,'Item master'!$A$2:$A$301,0))&amp;"","")))</f>
      </c>
      <c r="H532" s="34"/>
      <c r="I532" s="31"/>
      <c r="J532" s="31"/>
      <c r="K532" s="33"/>
      <c r="L532" s="31"/>
      <c r="M532" s="35"/>
      <c r="N532" s="30"/>
      <c r="O532" s="30"/>
      <c r="P532" s="36"/>
      <c r="Q532" s="38">
        <f>IF(OR(C532&lt;&gt;"loan",E532=""),"",IF(ISNA(MATCH(E532,Units!$A$2:$A$501,0)),"",IF(INDEX(Units!$E$2:$E$501,MATCH(E532,Units!$A$2:$A$501,0))="","",IF(K532="","No due date",IF(INT(K532)&gt;INDEX(Units!$E$2:$E$501,MATCH(E532,Units!$A$2:$A$501,0)),"Past cal date","OK")))))</f>
      </c>
      <c r="R532" s="37">
        <f>IF(A532="Overdue",K532+ROW()/10000000,"")</f>
      </c>
    </row>
    <row r="533">
      <c r="A533" s="38">
        <f>IF(C533="","",IF(B533="","Needs ID",IF(OR(C533="loan",C533="send_out"),IF(COUNTIF($L$2:$L$1001,B533)&gt;0,"Closed",IF(K533="","Open",IF(K533&lt;NOW(),"Overdue","Open"))),IF(C533="return",IF(OR(L533="",COUNTIF($B$2:$B$1001,L533)=0),"No match",IF(OR(M533="worn",M533="damaged"),"Quarantine","Returned")),IF(C533="issue","Issued",IF(C533="transfer","Moved",IF(C533="write_off","Written off",IF(C533="unfilled","Unfilled",""))))))))</f>
      </c>
      <c r="B533" s="31"/>
      <c r="C533" s="35"/>
      <c r="D533" s="33"/>
      <c r="E533" s="31"/>
      <c r="F533" s="31"/>
      <c r="G533" s="37">
        <f>IF(F533="","",IF(ISNA(MATCH(F533,'Item master'!$A$2:$A$301,0)),"Not in Item master",IFERROR(INDEX('Item master'!$B$2:$B$301,MATCH(F533,'Item master'!$A$2:$A$301,0))&amp;"","")))</f>
      </c>
      <c r="H533" s="34"/>
      <c r="I533" s="31"/>
      <c r="J533" s="31"/>
      <c r="K533" s="33"/>
      <c r="L533" s="31"/>
      <c r="M533" s="35"/>
      <c r="N533" s="30"/>
      <c r="O533" s="30"/>
      <c r="P533" s="36"/>
      <c r="Q533" s="38">
        <f>IF(OR(C533&lt;&gt;"loan",E533=""),"",IF(ISNA(MATCH(E533,Units!$A$2:$A$501,0)),"",IF(INDEX(Units!$E$2:$E$501,MATCH(E533,Units!$A$2:$A$501,0))="","",IF(K533="","No due date",IF(INT(K533)&gt;INDEX(Units!$E$2:$E$501,MATCH(E533,Units!$A$2:$A$501,0)),"Past cal date","OK")))))</f>
      </c>
      <c r="R533" s="37">
        <f>IF(A533="Overdue",K533+ROW()/10000000,"")</f>
      </c>
    </row>
    <row r="534">
      <c r="A534" s="38">
        <f>IF(C534="","",IF(B534="","Needs ID",IF(OR(C534="loan",C534="send_out"),IF(COUNTIF($L$2:$L$1001,B534)&gt;0,"Closed",IF(K534="","Open",IF(K534&lt;NOW(),"Overdue","Open"))),IF(C534="return",IF(OR(L534="",COUNTIF($B$2:$B$1001,L534)=0),"No match",IF(OR(M534="worn",M534="damaged"),"Quarantine","Returned")),IF(C534="issue","Issued",IF(C534="transfer","Moved",IF(C534="write_off","Written off",IF(C534="unfilled","Unfilled",""))))))))</f>
      </c>
      <c r="B534" s="31"/>
      <c r="C534" s="35"/>
      <c r="D534" s="33"/>
      <c r="E534" s="31"/>
      <c r="F534" s="31"/>
      <c r="G534" s="37">
        <f>IF(F534="","",IF(ISNA(MATCH(F534,'Item master'!$A$2:$A$301,0)),"Not in Item master",IFERROR(INDEX('Item master'!$B$2:$B$301,MATCH(F534,'Item master'!$A$2:$A$301,0))&amp;"","")))</f>
      </c>
      <c r="H534" s="34"/>
      <c r="I534" s="31"/>
      <c r="J534" s="31"/>
      <c r="K534" s="33"/>
      <c r="L534" s="31"/>
      <c r="M534" s="35"/>
      <c r="N534" s="30"/>
      <c r="O534" s="30"/>
      <c r="P534" s="36"/>
      <c r="Q534" s="38">
        <f>IF(OR(C534&lt;&gt;"loan",E534=""),"",IF(ISNA(MATCH(E534,Units!$A$2:$A$501,0)),"",IF(INDEX(Units!$E$2:$E$501,MATCH(E534,Units!$A$2:$A$501,0))="","",IF(K534="","No due date",IF(INT(K534)&gt;INDEX(Units!$E$2:$E$501,MATCH(E534,Units!$A$2:$A$501,0)),"Past cal date","OK")))))</f>
      </c>
      <c r="R534" s="37">
        <f>IF(A534="Overdue",K534+ROW()/10000000,"")</f>
      </c>
    </row>
    <row r="535">
      <c r="A535" s="38">
        <f>IF(C535="","",IF(B535="","Needs ID",IF(OR(C535="loan",C535="send_out"),IF(COUNTIF($L$2:$L$1001,B535)&gt;0,"Closed",IF(K535="","Open",IF(K535&lt;NOW(),"Overdue","Open"))),IF(C535="return",IF(OR(L535="",COUNTIF($B$2:$B$1001,L535)=0),"No match",IF(OR(M535="worn",M535="damaged"),"Quarantine","Returned")),IF(C535="issue","Issued",IF(C535="transfer","Moved",IF(C535="write_off","Written off",IF(C535="unfilled","Unfilled",""))))))))</f>
      </c>
      <c r="B535" s="31"/>
      <c r="C535" s="35"/>
      <c r="D535" s="33"/>
      <c r="E535" s="31"/>
      <c r="F535" s="31"/>
      <c r="G535" s="37">
        <f>IF(F535="","",IF(ISNA(MATCH(F535,'Item master'!$A$2:$A$301,0)),"Not in Item master",IFERROR(INDEX('Item master'!$B$2:$B$301,MATCH(F535,'Item master'!$A$2:$A$301,0))&amp;"","")))</f>
      </c>
      <c r="H535" s="34"/>
      <c r="I535" s="31"/>
      <c r="J535" s="31"/>
      <c r="K535" s="33"/>
      <c r="L535" s="31"/>
      <c r="M535" s="35"/>
      <c r="N535" s="30"/>
      <c r="O535" s="30"/>
      <c r="P535" s="36"/>
      <c r="Q535" s="38">
        <f>IF(OR(C535&lt;&gt;"loan",E535=""),"",IF(ISNA(MATCH(E535,Units!$A$2:$A$501,0)),"",IF(INDEX(Units!$E$2:$E$501,MATCH(E535,Units!$A$2:$A$501,0))="","",IF(K535="","No due date",IF(INT(K535)&gt;INDEX(Units!$E$2:$E$501,MATCH(E535,Units!$A$2:$A$501,0)),"Past cal date","OK")))))</f>
      </c>
      <c r="R535" s="37">
        <f>IF(A535="Overdue",K535+ROW()/10000000,"")</f>
      </c>
    </row>
    <row r="536">
      <c r="A536" s="38">
        <f>IF(C536="","",IF(B536="","Needs ID",IF(OR(C536="loan",C536="send_out"),IF(COUNTIF($L$2:$L$1001,B536)&gt;0,"Closed",IF(K536="","Open",IF(K536&lt;NOW(),"Overdue","Open"))),IF(C536="return",IF(OR(L536="",COUNTIF($B$2:$B$1001,L536)=0),"No match",IF(OR(M536="worn",M536="damaged"),"Quarantine","Returned")),IF(C536="issue","Issued",IF(C536="transfer","Moved",IF(C536="write_off","Written off",IF(C536="unfilled","Unfilled",""))))))))</f>
      </c>
      <c r="B536" s="31"/>
      <c r="C536" s="35"/>
      <c r="D536" s="33"/>
      <c r="E536" s="31"/>
      <c r="F536" s="31"/>
      <c r="G536" s="37">
        <f>IF(F536="","",IF(ISNA(MATCH(F536,'Item master'!$A$2:$A$301,0)),"Not in Item master",IFERROR(INDEX('Item master'!$B$2:$B$301,MATCH(F536,'Item master'!$A$2:$A$301,0))&amp;"","")))</f>
      </c>
      <c r="H536" s="34"/>
      <c r="I536" s="31"/>
      <c r="J536" s="31"/>
      <c r="K536" s="33"/>
      <c r="L536" s="31"/>
      <c r="M536" s="35"/>
      <c r="N536" s="30"/>
      <c r="O536" s="30"/>
      <c r="P536" s="36"/>
      <c r="Q536" s="38">
        <f>IF(OR(C536&lt;&gt;"loan",E536=""),"",IF(ISNA(MATCH(E536,Units!$A$2:$A$501,0)),"",IF(INDEX(Units!$E$2:$E$501,MATCH(E536,Units!$A$2:$A$501,0))="","",IF(K536="","No due date",IF(INT(K536)&gt;INDEX(Units!$E$2:$E$501,MATCH(E536,Units!$A$2:$A$501,0)),"Past cal date","OK")))))</f>
      </c>
      <c r="R536" s="37">
        <f>IF(A536="Overdue",K536+ROW()/10000000,"")</f>
      </c>
    </row>
    <row r="537">
      <c r="A537" s="38">
        <f>IF(C537="","",IF(B537="","Needs ID",IF(OR(C537="loan",C537="send_out"),IF(COUNTIF($L$2:$L$1001,B537)&gt;0,"Closed",IF(K537="","Open",IF(K537&lt;NOW(),"Overdue","Open"))),IF(C537="return",IF(OR(L537="",COUNTIF($B$2:$B$1001,L537)=0),"No match",IF(OR(M537="worn",M537="damaged"),"Quarantine","Returned")),IF(C537="issue","Issued",IF(C537="transfer","Moved",IF(C537="write_off","Written off",IF(C537="unfilled","Unfilled",""))))))))</f>
      </c>
      <c r="B537" s="31"/>
      <c r="C537" s="35"/>
      <c r="D537" s="33"/>
      <c r="E537" s="31"/>
      <c r="F537" s="31"/>
      <c r="G537" s="37">
        <f>IF(F537="","",IF(ISNA(MATCH(F537,'Item master'!$A$2:$A$301,0)),"Not in Item master",IFERROR(INDEX('Item master'!$B$2:$B$301,MATCH(F537,'Item master'!$A$2:$A$301,0))&amp;"","")))</f>
      </c>
      <c r="H537" s="34"/>
      <c r="I537" s="31"/>
      <c r="J537" s="31"/>
      <c r="K537" s="33"/>
      <c r="L537" s="31"/>
      <c r="M537" s="35"/>
      <c r="N537" s="30"/>
      <c r="O537" s="30"/>
      <c r="P537" s="36"/>
      <c r="Q537" s="38">
        <f>IF(OR(C537&lt;&gt;"loan",E537=""),"",IF(ISNA(MATCH(E537,Units!$A$2:$A$501,0)),"",IF(INDEX(Units!$E$2:$E$501,MATCH(E537,Units!$A$2:$A$501,0))="","",IF(K537="","No due date",IF(INT(K537)&gt;INDEX(Units!$E$2:$E$501,MATCH(E537,Units!$A$2:$A$501,0)),"Past cal date","OK")))))</f>
      </c>
      <c r="R537" s="37">
        <f>IF(A537="Overdue",K537+ROW()/10000000,"")</f>
      </c>
    </row>
    <row r="538">
      <c r="A538" s="38">
        <f>IF(C538="","",IF(B538="","Needs ID",IF(OR(C538="loan",C538="send_out"),IF(COUNTIF($L$2:$L$1001,B538)&gt;0,"Closed",IF(K538="","Open",IF(K538&lt;NOW(),"Overdue","Open"))),IF(C538="return",IF(OR(L538="",COUNTIF($B$2:$B$1001,L538)=0),"No match",IF(OR(M538="worn",M538="damaged"),"Quarantine","Returned")),IF(C538="issue","Issued",IF(C538="transfer","Moved",IF(C538="write_off","Written off",IF(C538="unfilled","Unfilled",""))))))))</f>
      </c>
      <c r="B538" s="31"/>
      <c r="C538" s="35"/>
      <c r="D538" s="33"/>
      <c r="E538" s="31"/>
      <c r="F538" s="31"/>
      <c r="G538" s="37">
        <f>IF(F538="","",IF(ISNA(MATCH(F538,'Item master'!$A$2:$A$301,0)),"Not in Item master",IFERROR(INDEX('Item master'!$B$2:$B$301,MATCH(F538,'Item master'!$A$2:$A$301,0))&amp;"","")))</f>
      </c>
      <c r="H538" s="34"/>
      <c r="I538" s="31"/>
      <c r="J538" s="31"/>
      <c r="K538" s="33"/>
      <c r="L538" s="31"/>
      <c r="M538" s="35"/>
      <c r="N538" s="30"/>
      <c r="O538" s="30"/>
      <c r="P538" s="36"/>
      <c r="Q538" s="38">
        <f>IF(OR(C538&lt;&gt;"loan",E538=""),"",IF(ISNA(MATCH(E538,Units!$A$2:$A$501,0)),"",IF(INDEX(Units!$E$2:$E$501,MATCH(E538,Units!$A$2:$A$501,0))="","",IF(K538="","No due date",IF(INT(K538)&gt;INDEX(Units!$E$2:$E$501,MATCH(E538,Units!$A$2:$A$501,0)),"Past cal date","OK")))))</f>
      </c>
      <c r="R538" s="37">
        <f>IF(A538="Overdue",K538+ROW()/10000000,"")</f>
      </c>
    </row>
    <row r="539">
      <c r="A539" s="38">
        <f>IF(C539="","",IF(B539="","Needs ID",IF(OR(C539="loan",C539="send_out"),IF(COUNTIF($L$2:$L$1001,B539)&gt;0,"Closed",IF(K539="","Open",IF(K539&lt;NOW(),"Overdue","Open"))),IF(C539="return",IF(OR(L539="",COUNTIF($B$2:$B$1001,L539)=0),"No match",IF(OR(M539="worn",M539="damaged"),"Quarantine","Returned")),IF(C539="issue","Issued",IF(C539="transfer","Moved",IF(C539="write_off","Written off",IF(C539="unfilled","Unfilled",""))))))))</f>
      </c>
      <c r="B539" s="31"/>
      <c r="C539" s="35"/>
      <c r="D539" s="33"/>
      <c r="E539" s="31"/>
      <c r="F539" s="31"/>
      <c r="G539" s="37">
        <f>IF(F539="","",IF(ISNA(MATCH(F539,'Item master'!$A$2:$A$301,0)),"Not in Item master",IFERROR(INDEX('Item master'!$B$2:$B$301,MATCH(F539,'Item master'!$A$2:$A$301,0))&amp;"","")))</f>
      </c>
      <c r="H539" s="34"/>
      <c r="I539" s="31"/>
      <c r="J539" s="31"/>
      <c r="K539" s="33"/>
      <c r="L539" s="31"/>
      <c r="M539" s="35"/>
      <c r="N539" s="30"/>
      <c r="O539" s="30"/>
      <c r="P539" s="36"/>
      <c r="Q539" s="38">
        <f>IF(OR(C539&lt;&gt;"loan",E539=""),"",IF(ISNA(MATCH(E539,Units!$A$2:$A$501,0)),"",IF(INDEX(Units!$E$2:$E$501,MATCH(E539,Units!$A$2:$A$501,0))="","",IF(K539="","No due date",IF(INT(K539)&gt;INDEX(Units!$E$2:$E$501,MATCH(E539,Units!$A$2:$A$501,0)),"Past cal date","OK")))))</f>
      </c>
      <c r="R539" s="37">
        <f>IF(A539="Overdue",K539+ROW()/10000000,"")</f>
      </c>
    </row>
    <row r="540">
      <c r="A540" s="38">
        <f>IF(C540="","",IF(B540="","Needs ID",IF(OR(C540="loan",C540="send_out"),IF(COUNTIF($L$2:$L$1001,B540)&gt;0,"Closed",IF(K540="","Open",IF(K540&lt;NOW(),"Overdue","Open"))),IF(C540="return",IF(OR(L540="",COUNTIF($B$2:$B$1001,L540)=0),"No match",IF(OR(M540="worn",M540="damaged"),"Quarantine","Returned")),IF(C540="issue","Issued",IF(C540="transfer","Moved",IF(C540="write_off","Written off",IF(C540="unfilled","Unfilled",""))))))))</f>
      </c>
      <c r="B540" s="31"/>
      <c r="C540" s="35"/>
      <c r="D540" s="33"/>
      <c r="E540" s="31"/>
      <c r="F540" s="31"/>
      <c r="G540" s="37">
        <f>IF(F540="","",IF(ISNA(MATCH(F540,'Item master'!$A$2:$A$301,0)),"Not in Item master",IFERROR(INDEX('Item master'!$B$2:$B$301,MATCH(F540,'Item master'!$A$2:$A$301,0))&amp;"","")))</f>
      </c>
      <c r="H540" s="34"/>
      <c r="I540" s="31"/>
      <c r="J540" s="31"/>
      <c r="K540" s="33"/>
      <c r="L540" s="31"/>
      <c r="M540" s="35"/>
      <c r="N540" s="30"/>
      <c r="O540" s="30"/>
      <c r="P540" s="36"/>
      <c r="Q540" s="38">
        <f>IF(OR(C540&lt;&gt;"loan",E540=""),"",IF(ISNA(MATCH(E540,Units!$A$2:$A$501,0)),"",IF(INDEX(Units!$E$2:$E$501,MATCH(E540,Units!$A$2:$A$501,0))="","",IF(K540="","No due date",IF(INT(K540)&gt;INDEX(Units!$E$2:$E$501,MATCH(E540,Units!$A$2:$A$501,0)),"Past cal date","OK")))))</f>
      </c>
      <c r="R540" s="37">
        <f>IF(A540="Overdue",K540+ROW()/10000000,"")</f>
      </c>
    </row>
    <row r="541">
      <c r="A541" s="38">
        <f>IF(C541="","",IF(B541="","Needs ID",IF(OR(C541="loan",C541="send_out"),IF(COUNTIF($L$2:$L$1001,B541)&gt;0,"Closed",IF(K541="","Open",IF(K541&lt;NOW(),"Overdue","Open"))),IF(C541="return",IF(OR(L541="",COUNTIF($B$2:$B$1001,L541)=0),"No match",IF(OR(M541="worn",M541="damaged"),"Quarantine","Returned")),IF(C541="issue","Issued",IF(C541="transfer","Moved",IF(C541="write_off","Written off",IF(C541="unfilled","Unfilled",""))))))))</f>
      </c>
      <c r="B541" s="31"/>
      <c r="C541" s="35"/>
      <c r="D541" s="33"/>
      <c r="E541" s="31"/>
      <c r="F541" s="31"/>
      <c r="G541" s="37">
        <f>IF(F541="","",IF(ISNA(MATCH(F541,'Item master'!$A$2:$A$301,0)),"Not in Item master",IFERROR(INDEX('Item master'!$B$2:$B$301,MATCH(F541,'Item master'!$A$2:$A$301,0))&amp;"","")))</f>
      </c>
      <c r="H541" s="34"/>
      <c r="I541" s="31"/>
      <c r="J541" s="31"/>
      <c r="K541" s="33"/>
      <c r="L541" s="31"/>
      <c r="M541" s="35"/>
      <c r="N541" s="30"/>
      <c r="O541" s="30"/>
      <c r="P541" s="36"/>
      <c r="Q541" s="38">
        <f>IF(OR(C541&lt;&gt;"loan",E541=""),"",IF(ISNA(MATCH(E541,Units!$A$2:$A$501,0)),"",IF(INDEX(Units!$E$2:$E$501,MATCH(E541,Units!$A$2:$A$501,0))="","",IF(K541="","No due date",IF(INT(K541)&gt;INDEX(Units!$E$2:$E$501,MATCH(E541,Units!$A$2:$A$501,0)),"Past cal date","OK")))))</f>
      </c>
      <c r="R541" s="37">
        <f>IF(A541="Overdue",K541+ROW()/10000000,"")</f>
      </c>
    </row>
    <row r="542">
      <c r="A542" s="38">
        <f>IF(C542="","",IF(B542="","Needs ID",IF(OR(C542="loan",C542="send_out"),IF(COUNTIF($L$2:$L$1001,B542)&gt;0,"Closed",IF(K542="","Open",IF(K542&lt;NOW(),"Overdue","Open"))),IF(C542="return",IF(OR(L542="",COUNTIF($B$2:$B$1001,L542)=0),"No match",IF(OR(M542="worn",M542="damaged"),"Quarantine","Returned")),IF(C542="issue","Issued",IF(C542="transfer","Moved",IF(C542="write_off","Written off",IF(C542="unfilled","Unfilled",""))))))))</f>
      </c>
      <c r="B542" s="31"/>
      <c r="C542" s="35"/>
      <c r="D542" s="33"/>
      <c r="E542" s="31"/>
      <c r="F542" s="31"/>
      <c r="G542" s="37">
        <f>IF(F542="","",IF(ISNA(MATCH(F542,'Item master'!$A$2:$A$301,0)),"Not in Item master",IFERROR(INDEX('Item master'!$B$2:$B$301,MATCH(F542,'Item master'!$A$2:$A$301,0))&amp;"","")))</f>
      </c>
      <c r="H542" s="34"/>
      <c r="I542" s="31"/>
      <c r="J542" s="31"/>
      <c r="K542" s="33"/>
      <c r="L542" s="31"/>
      <c r="M542" s="35"/>
      <c r="N542" s="30"/>
      <c r="O542" s="30"/>
      <c r="P542" s="36"/>
      <c r="Q542" s="38">
        <f>IF(OR(C542&lt;&gt;"loan",E542=""),"",IF(ISNA(MATCH(E542,Units!$A$2:$A$501,0)),"",IF(INDEX(Units!$E$2:$E$501,MATCH(E542,Units!$A$2:$A$501,0))="","",IF(K542="","No due date",IF(INT(K542)&gt;INDEX(Units!$E$2:$E$501,MATCH(E542,Units!$A$2:$A$501,0)),"Past cal date","OK")))))</f>
      </c>
      <c r="R542" s="37">
        <f>IF(A542="Overdue",K542+ROW()/10000000,"")</f>
      </c>
    </row>
    <row r="543">
      <c r="A543" s="38">
        <f>IF(C543="","",IF(B543="","Needs ID",IF(OR(C543="loan",C543="send_out"),IF(COUNTIF($L$2:$L$1001,B543)&gt;0,"Closed",IF(K543="","Open",IF(K543&lt;NOW(),"Overdue","Open"))),IF(C543="return",IF(OR(L543="",COUNTIF($B$2:$B$1001,L543)=0),"No match",IF(OR(M543="worn",M543="damaged"),"Quarantine","Returned")),IF(C543="issue","Issued",IF(C543="transfer","Moved",IF(C543="write_off","Written off",IF(C543="unfilled","Unfilled",""))))))))</f>
      </c>
      <c r="B543" s="31"/>
      <c r="C543" s="35"/>
      <c r="D543" s="33"/>
      <c r="E543" s="31"/>
      <c r="F543" s="31"/>
      <c r="G543" s="37">
        <f>IF(F543="","",IF(ISNA(MATCH(F543,'Item master'!$A$2:$A$301,0)),"Not in Item master",IFERROR(INDEX('Item master'!$B$2:$B$301,MATCH(F543,'Item master'!$A$2:$A$301,0))&amp;"","")))</f>
      </c>
      <c r="H543" s="34"/>
      <c r="I543" s="31"/>
      <c r="J543" s="31"/>
      <c r="K543" s="33"/>
      <c r="L543" s="31"/>
      <c r="M543" s="35"/>
      <c r="N543" s="30"/>
      <c r="O543" s="30"/>
      <c r="P543" s="36"/>
      <c r="Q543" s="38">
        <f>IF(OR(C543&lt;&gt;"loan",E543=""),"",IF(ISNA(MATCH(E543,Units!$A$2:$A$501,0)),"",IF(INDEX(Units!$E$2:$E$501,MATCH(E543,Units!$A$2:$A$501,0))="","",IF(K543="","No due date",IF(INT(K543)&gt;INDEX(Units!$E$2:$E$501,MATCH(E543,Units!$A$2:$A$501,0)),"Past cal date","OK")))))</f>
      </c>
      <c r="R543" s="37">
        <f>IF(A543="Overdue",K543+ROW()/10000000,"")</f>
      </c>
    </row>
    <row r="544">
      <c r="A544" s="38">
        <f>IF(C544="","",IF(B544="","Needs ID",IF(OR(C544="loan",C544="send_out"),IF(COUNTIF($L$2:$L$1001,B544)&gt;0,"Closed",IF(K544="","Open",IF(K544&lt;NOW(),"Overdue","Open"))),IF(C544="return",IF(OR(L544="",COUNTIF($B$2:$B$1001,L544)=0),"No match",IF(OR(M544="worn",M544="damaged"),"Quarantine","Returned")),IF(C544="issue","Issued",IF(C544="transfer","Moved",IF(C544="write_off","Written off",IF(C544="unfilled","Unfilled",""))))))))</f>
      </c>
      <c r="B544" s="31"/>
      <c r="C544" s="35"/>
      <c r="D544" s="33"/>
      <c r="E544" s="31"/>
      <c r="F544" s="31"/>
      <c r="G544" s="37">
        <f>IF(F544="","",IF(ISNA(MATCH(F544,'Item master'!$A$2:$A$301,0)),"Not in Item master",IFERROR(INDEX('Item master'!$B$2:$B$301,MATCH(F544,'Item master'!$A$2:$A$301,0))&amp;"","")))</f>
      </c>
      <c r="H544" s="34"/>
      <c r="I544" s="31"/>
      <c r="J544" s="31"/>
      <c r="K544" s="33"/>
      <c r="L544" s="31"/>
      <c r="M544" s="35"/>
      <c r="N544" s="30"/>
      <c r="O544" s="30"/>
      <c r="P544" s="36"/>
      <c r="Q544" s="38">
        <f>IF(OR(C544&lt;&gt;"loan",E544=""),"",IF(ISNA(MATCH(E544,Units!$A$2:$A$501,0)),"",IF(INDEX(Units!$E$2:$E$501,MATCH(E544,Units!$A$2:$A$501,0))="","",IF(K544="","No due date",IF(INT(K544)&gt;INDEX(Units!$E$2:$E$501,MATCH(E544,Units!$A$2:$A$501,0)),"Past cal date","OK")))))</f>
      </c>
      <c r="R544" s="37">
        <f>IF(A544="Overdue",K544+ROW()/10000000,"")</f>
      </c>
    </row>
    <row r="545">
      <c r="A545" s="38">
        <f>IF(C545="","",IF(B545="","Needs ID",IF(OR(C545="loan",C545="send_out"),IF(COUNTIF($L$2:$L$1001,B545)&gt;0,"Closed",IF(K545="","Open",IF(K545&lt;NOW(),"Overdue","Open"))),IF(C545="return",IF(OR(L545="",COUNTIF($B$2:$B$1001,L545)=0),"No match",IF(OR(M545="worn",M545="damaged"),"Quarantine","Returned")),IF(C545="issue","Issued",IF(C545="transfer","Moved",IF(C545="write_off","Written off",IF(C545="unfilled","Unfilled",""))))))))</f>
      </c>
      <c r="B545" s="31"/>
      <c r="C545" s="35"/>
      <c r="D545" s="33"/>
      <c r="E545" s="31"/>
      <c r="F545" s="31"/>
      <c r="G545" s="37">
        <f>IF(F545="","",IF(ISNA(MATCH(F545,'Item master'!$A$2:$A$301,0)),"Not in Item master",IFERROR(INDEX('Item master'!$B$2:$B$301,MATCH(F545,'Item master'!$A$2:$A$301,0))&amp;"","")))</f>
      </c>
      <c r="H545" s="34"/>
      <c r="I545" s="31"/>
      <c r="J545" s="31"/>
      <c r="K545" s="33"/>
      <c r="L545" s="31"/>
      <c r="M545" s="35"/>
      <c r="N545" s="30"/>
      <c r="O545" s="30"/>
      <c r="P545" s="36"/>
      <c r="Q545" s="38">
        <f>IF(OR(C545&lt;&gt;"loan",E545=""),"",IF(ISNA(MATCH(E545,Units!$A$2:$A$501,0)),"",IF(INDEX(Units!$E$2:$E$501,MATCH(E545,Units!$A$2:$A$501,0))="","",IF(K545="","No due date",IF(INT(K545)&gt;INDEX(Units!$E$2:$E$501,MATCH(E545,Units!$A$2:$A$501,0)),"Past cal date","OK")))))</f>
      </c>
      <c r="R545" s="37">
        <f>IF(A545="Overdue",K545+ROW()/10000000,"")</f>
      </c>
    </row>
    <row r="546">
      <c r="A546" s="38">
        <f>IF(C546="","",IF(B546="","Needs ID",IF(OR(C546="loan",C546="send_out"),IF(COUNTIF($L$2:$L$1001,B546)&gt;0,"Closed",IF(K546="","Open",IF(K546&lt;NOW(),"Overdue","Open"))),IF(C546="return",IF(OR(L546="",COUNTIF($B$2:$B$1001,L546)=0),"No match",IF(OR(M546="worn",M546="damaged"),"Quarantine","Returned")),IF(C546="issue","Issued",IF(C546="transfer","Moved",IF(C546="write_off","Written off",IF(C546="unfilled","Unfilled",""))))))))</f>
      </c>
      <c r="B546" s="31"/>
      <c r="C546" s="35"/>
      <c r="D546" s="33"/>
      <c r="E546" s="31"/>
      <c r="F546" s="31"/>
      <c r="G546" s="37">
        <f>IF(F546="","",IF(ISNA(MATCH(F546,'Item master'!$A$2:$A$301,0)),"Not in Item master",IFERROR(INDEX('Item master'!$B$2:$B$301,MATCH(F546,'Item master'!$A$2:$A$301,0))&amp;"","")))</f>
      </c>
      <c r="H546" s="34"/>
      <c r="I546" s="31"/>
      <c r="J546" s="31"/>
      <c r="K546" s="33"/>
      <c r="L546" s="31"/>
      <c r="M546" s="35"/>
      <c r="N546" s="30"/>
      <c r="O546" s="30"/>
      <c r="P546" s="36"/>
      <c r="Q546" s="38">
        <f>IF(OR(C546&lt;&gt;"loan",E546=""),"",IF(ISNA(MATCH(E546,Units!$A$2:$A$501,0)),"",IF(INDEX(Units!$E$2:$E$501,MATCH(E546,Units!$A$2:$A$501,0))="","",IF(K546="","No due date",IF(INT(K546)&gt;INDEX(Units!$E$2:$E$501,MATCH(E546,Units!$A$2:$A$501,0)),"Past cal date","OK")))))</f>
      </c>
      <c r="R546" s="37">
        <f>IF(A546="Overdue",K546+ROW()/10000000,"")</f>
      </c>
    </row>
    <row r="547">
      <c r="A547" s="38">
        <f>IF(C547="","",IF(B547="","Needs ID",IF(OR(C547="loan",C547="send_out"),IF(COUNTIF($L$2:$L$1001,B547)&gt;0,"Closed",IF(K547="","Open",IF(K547&lt;NOW(),"Overdue","Open"))),IF(C547="return",IF(OR(L547="",COUNTIF($B$2:$B$1001,L547)=0),"No match",IF(OR(M547="worn",M547="damaged"),"Quarantine","Returned")),IF(C547="issue","Issued",IF(C547="transfer","Moved",IF(C547="write_off","Written off",IF(C547="unfilled","Unfilled",""))))))))</f>
      </c>
      <c r="B547" s="31"/>
      <c r="C547" s="35"/>
      <c r="D547" s="33"/>
      <c r="E547" s="31"/>
      <c r="F547" s="31"/>
      <c r="G547" s="37">
        <f>IF(F547="","",IF(ISNA(MATCH(F547,'Item master'!$A$2:$A$301,0)),"Not in Item master",IFERROR(INDEX('Item master'!$B$2:$B$301,MATCH(F547,'Item master'!$A$2:$A$301,0))&amp;"","")))</f>
      </c>
      <c r="H547" s="34"/>
      <c r="I547" s="31"/>
      <c r="J547" s="31"/>
      <c r="K547" s="33"/>
      <c r="L547" s="31"/>
      <c r="M547" s="35"/>
      <c r="N547" s="30"/>
      <c r="O547" s="30"/>
      <c r="P547" s="36"/>
      <c r="Q547" s="38">
        <f>IF(OR(C547&lt;&gt;"loan",E547=""),"",IF(ISNA(MATCH(E547,Units!$A$2:$A$501,0)),"",IF(INDEX(Units!$E$2:$E$501,MATCH(E547,Units!$A$2:$A$501,0))="","",IF(K547="","No due date",IF(INT(K547)&gt;INDEX(Units!$E$2:$E$501,MATCH(E547,Units!$A$2:$A$501,0)),"Past cal date","OK")))))</f>
      </c>
      <c r="R547" s="37">
        <f>IF(A547="Overdue",K547+ROW()/10000000,"")</f>
      </c>
    </row>
    <row r="548">
      <c r="A548" s="38">
        <f>IF(C548="","",IF(B548="","Needs ID",IF(OR(C548="loan",C548="send_out"),IF(COUNTIF($L$2:$L$1001,B548)&gt;0,"Closed",IF(K548="","Open",IF(K548&lt;NOW(),"Overdue","Open"))),IF(C548="return",IF(OR(L548="",COUNTIF($B$2:$B$1001,L548)=0),"No match",IF(OR(M548="worn",M548="damaged"),"Quarantine","Returned")),IF(C548="issue","Issued",IF(C548="transfer","Moved",IF(C548="write_off","Written off",IF(C548="unfilled","Unfilled",""))))))))</f>
      </c>
      <c r="B548" s="31"/>
      <c r="C548" s="35"/>
      <c r="D548" s="33"/>
      <c r="E548" s="31"/>
      <c r="F548" s="31"/>
      <c r="G548" s="37">
        <f>IF(F548="","",IF(ISNA(MATCH(F548,'Item master'!$A$2:$A$301,0)),"Not in Item master",IFERROR(INDEX('Item master'!$B$2:$B$301,MATCH(F548,'Item master'!$A$2:$A$301,0))&amp;"","")))</f>
      </c>
      <c r="H548" s="34"/>
      <c r="I548" s="31"/>
      <c r="J548" s="31"/>
      <c r="K548" s="33"/>
      <c r="L548" s="31"/>
      <c r="M548" s="35"/>
      <c r="N548" s="30"/>
      <c r="O548" s="30"/>
      <c r="P548" s="36"/>
      <c r="Q548" s="38">
        <f>IF(OR(C548&lt;&gt;"loan",E548=""),"",IF(ISNA(MATCH(E548,Units!$A$2:$A$501,0)),"",IF(INDEX(Units!$E$2:$E$501,MATCH(E548,Units!$A$2:$A$501,0))="","",IF(K548="","No due date",IF(INT(K548)&gt;INDEX(Units!$E$2:$E$501,MATCH(E548,Units!$A$2:$A$501,0)),"Past cal date","OK")))))</f>
      </c>
      <c r="R548" s="37">
        <f>IF(A548="Overdue",K548+ROW()/10000000,"")</f>
      </c>
    </row>
    <row r="549">
      <c r="A549" s="38">
        <f>IF(C549="","",IF(B549="","Needs ID",IF(OR(C549="loan",C549="send_out"),IF(COUNTIF($L$2:$L$1001,B549)&gt;0,"Closed",IF(K549="","Open",IF(K549&lt;NOW(),"Overdue","Open"))),IF(C549="return",IF(OR(L549="",COUNTIF($B$2:$B$1001,L549)=0),"No match",IF(OR(M549="worn",M549="damaged"),"Quarantine","Returned")),IF(C549="issue","Issued",IF(C549="transfer","Moved",IF(C549="write_off","Written off",IF(C549="unfilled","Unfilled",""))))))))</f>
      </c>
      <c r="B549" s="31"/>
      <c r="C549" s="35"/>
      <c r="D549" s="33"/>
      <c r="E549" s="31"/>
      <c r="F549" s="31"/>
      <c r="G549" s="37">
        <f>IF(F549="","",IF(ISNA(MATCH(F549,'Item master'!$A$2:$A$301,0)),"Not in Item master",IFERROR(INDEX('Item master'!$B$2:$B$301,MATCH(F549,'Item master'!$A$2:$A$301,0))&amp;"","")))</f>
      </c>
      <c r="H549" s="34"/>
      <c r="I549" s="31"/>
      <c r="J549" s="31"/>
      <c r="K549" s="33"/>
      <c r="L549" s="31"/>
      <c r="M549" s="35"/>
      <c r="N549" s="30"/>
      <c r="O549" s="30"/>
      <c r="P549" s="36"/>
      <c r="Q549" s="38">
        <f>IF(OR(C549&lt;&gt;"loan",E549=""),"",IF(ISNA(MATCH(E549,Units!$A$2:$A$501,0)),"",IF(INDEX(Units!$E$2:$E$501,MATCH(E549,Units!$A$2:$A$501,0))="","",IF(K549="","No due date",IF(INT(K549)&gt;INDEX(Units!$E$2:$E$501,MATCH(E549,Units!$A$2:$A$501,0)),"Past cal date","OK")))))</f>
      </c>
      <c r="R549" s="37">
        <f>IF(A549="Overdue",K549+ROW()/10000000,"")</f>
      </c>
    </row>
    <row r="550">
      <c r="A550" s="38">
        <f>IF(C550="","",IF(B550="","Needs ID",IF(OR(C550="loan",C550="send_out"),IF(COUNTIF($L$2:$L$1001,B550)&gt;0,"Closed",IF(K550="","Open",IF(K550&lt;NOW(),"Overdue","Open"))),IF(C550="return",IF(OR(L550="",COUNTIF($B$2:$B$1001,L550)=0),"No match",IF(OR(M550="worn",M550="damaged"),"Quarantine","Returned")),IF(C550="issue","Issued",IF(C550="transfer","Moved",IF(C550="write_off","Written off",IF(C550="unfilled","Unfilled",""))))))))</f>
      </c>
      <c r="B550" s="31"/>
      <c r="C550" s="35"/>
      <c r="D550" s="33"/>
      <c r="E550" s="31"/>
      <c r="F550" s="31"/>
      <c r="G550" s="37">
        <f>IF(F550="","",IF(ISNA(MATCH(F550,'Item master'!$A$2:$A$301,0)),"Not in Item master",IFERROR(INDEX('Item master'!$B$2:$B$301,MATCH(F550,'Item master'!$A$2:$A$301,0))&amp;"","")))</f>
      </c>
      <c r="H550" s="34"/>
      <c r="I550" s="31"/>
      <c r="J550" s="31"/>
      <c r="K550" s="33"/>
      <c r="L550" s="31"/>
      <c r="M550" s="35"/>
      <c r="N550" s="30"/>
      <c r="O550" s="30"/>
      <c r="P550" s="36"/>
      <c r="Q550" s="38">
        <f>IF(OR(C550&lt;&gt;"loan",E550=""),"",IF(ISNA(MATCH(E550,Units!$A$2:$A$501,0)),"",IF(INDEX(Units!$E$2:$E$501,MATCH(E550,Units!$A$2:$A$501,0))="","",IF(K550="","No due date",IF(INT(K550)&gt;INDEX(Units!$E$2:$E$501,MATCH(E550,Units!$A$2:$A$501,0)),"Past cal date","OK")))))</f>
      </c>
      <c r="R550" s="37">
        <f>IF(A550="Overdue",K550+ROW()/10000000,"")</f>
      </c>
    </row>
    <row r="551">
      <c r="A551" s="38">
        <f>IF(C551="","",IF(B551="","Needs ID",IF(OR(C551="loan",C551="send_out"),IF(COUNTIF($L$2:$L$1001,B551)&gt;0,"Closed",IF(K551="","Open",IF(K551&lt;NOW(),"Overdue","Open"))),IF(C551="return",IF(OR(L551="",COUNTIF($B$2:$B$1001,L551)=0),"No match",IF(OR(M551="worn",M551="damaged"),"Quarantine","Returned")),IF(C551="issue","Issued",IF(C551="transfer","Moved",IF(C551="write_off","Written off",IF(C551="unfilled","Unfilled",""))))))))</f>
      </c>
      <c r="B551" s="31"/>
      <c r="C551" s="35"/>
      <c r="D551" s="33"/>
      <c r="E551" s="31"/>
      <c r="F551" s="31"/>
      <c r="G551" s="37">
        <f>IF(F551="","",IF(ISNA(MATCH(F551,'Item master'!$A$2:$A$301,0)),"Not in Item master",IFERROR(INDEX('Item master'!$B$2:$B$301,MATCH(F551,'Item master'!$A$2:$A$301,0))&amp;"","")))</f>
      </c>
      <c r="H551" s="34"/>
      <c r="I551" s="31"/>
      <c r="J551" s="31"/>
      <c r="K551" s="33"/>
      <c r="L551" s="31"/>
      <c r="M551" s="35"/>
      <c r="N551" s="30"/>
      <c r="O551" s="30"/>
      <c r="P551" s="36"/>
      <c r="Q551" s="38">
        <f>IF(OR(C551&lt;&gt;"loan",E551=""),"",IF(ISNA(MATCH(E551,Units!$A$2:$A$501,0)),"",IF(INDEX(Units!$E$2:$E$501,MATCH(E551,Units!$A$2:$A$501,0))="","",IF(K551="","No due date",IF(INT(K551)&gt;INDEX(Units!$E$2:$E$501,MATCH(E551,Units!$A$2:$A$501,0)),"Past cal date","OK")))))</f>
      </c>
      <c r="R551" s="37">
        <f>IF(A551="Overdue",K551+ROW()/10000000,"")</f>
      </c>
    </row>
    <row r="552">
      <c r="A552" s="38">
        <f>IF(C552="","",IF(B552="","Needs ID",IF(OR(C552="loan",C552="send_out"),IF(COUNTIF($L$2:$L$1001,B552)&gt;0,"Closed",IF(K552="","Open",IF(K552&lt;NOW(),"Overdue","Open"))),IF(C552="return",IF(OR(L552="",COUNTIF($B$2:$B$1001,L552)=0),"No match",IF(OR(M552="worn",M552="damaged"),"Quarantine","Returned")),IF(C552="issue","Issued",IF(C552="transfer","Moved",IF(C552="write_off","Written off",IF(C552="unfilled","Unfilled",""))))))))</f>
      </c>
      <c r="B552" s="31"/>
      <c r="C552" s="35"/>
      <c r="D552" s="33"/>
      <c r="E552" s="31"/>
      <c r="F552" s="31"/>
      <c r="G552" s="37">
        <f>IF(F552="","",IF(ISNA(MATCH(F552,'Item master'!$A$2:$A$301,0)),"Not in Item master",IFERROR(INDEX('Item master'!$B$2:$B$301,MATCH(F552,'Item master'!$A$2:$A$301,0))&amp;"","")))</f>
      </c>
      <c r="H552" s="34"/>
      <c r="I552" s="31"/>
      <c r="J552" s="31"/>
      <c r="K552" s="33"/>
      <c r="L552" s="31"/>
      <c r="M552" s="35"/>
      <c r="N552" s="30"/>
      <c r="O552" s="30"/>
      <c r="P552" s="36"/>
      <c r="Q552" s="38">
        <f>IF(OR(C552&lt;&gt;"loan",E552=""),"",IF(ISNA(MATCH(E552,Units!$A$2:$A$501,0)),"",IF(INDEX(Units!$E$2:$E$501,MATCH(E552,Units!$A$2:$A$501,0))="","",IF(K552="","No due date",IF(INT(K552)&gt;INDEX(Units!$E$2:$E$501,MATCH(E552,Units!$A$2:$A$501,0)),"Past cal date","OK")))))</f>
      </c>
      <c r="R552" s="37">
        <f>IF(A552="Overdue",K552+ROW()/10000000,"")</f>
      </c>
    </row>
    <row r="553">
      <c r="A553" s="38">
        <f>IF(C553="","",IF(B553="","Needs ID",IF(OR(C553="loan",C553="send_out"),IF(COUNTIF($L$2:$L$1001,B553)&gt;0,"Closed",IF(K553="","Open",IF(K553&lt;NOW(),"Overdue","Open"))),IF(C553="return",IF(OR(L553="",COUNTIF($B$2:$B$1001,L553)=0),"No match",IF(OR(M553="worn",M553="damaged"),"Quarantine","Returned")),IF(C553="issue","Issued",IF(C553="transfer","Moved",IF(C553="write_off","Written off",IF(C553="unfilled","Unfilled",""))))))))</f>
      </c>
      <c r="B553" s="31"/>
      <c r="C553" s="35"/>
      <c r="D553" s="33"/>
      <c r="E553" s="31"/>
      <c r="F553" s="31"/>
      <c r="G553" s="37">
        <f>IF(F553="","",IF(ISNA(MATCH(F553,'Item master'!$A$2:$A$301,0)),"Not in Item master",IFERROR(INDEX('Item master'!$B$2:$B$301,MATCH(F553,'Item master'!$A$2:$A$301,0))&amp;"","")))</f>
      </c>
      <c r="H553" s="34"/>
      <c r="I553" s="31"/>
      <c r="J553" s="31"/>
      <c r="K553" s="33"/>
      <c r="L553" s="31"/>
      <c r="M553" s="35"/>
      <c r="N553" s="30"/>
      <c r="O553" s="30"/>
      <c r="P553" s="36"/>
      <c r="Q553" s="38">
        <f>IF(OR(C553&lt;&gt;"loan",E553=""),"",IF(ISNA(MATCH(E553,Units!$A$2:$A$501,0)),"",IF(INDEX(Units!$E$2:$E$501,MATCH(E553,Units!$A$2:$A$501,0))="","",IF(K553="","No due date",IF(INT(K553)&gt;INDEX(Units!$E$2:$E$501,MATCH(E553,Units!$A$2:$A$501,0)),"Past cal date","OK")))))</f>
      </c>
      <c r="R553" s="37">
        <f>IF(A553="Overdue",K553+ROW()/10000000,"")</f>
      </c>
    </row>
    <row r="554">
      <c r="A554" s="38">
        <f>IF(C554="","",IF(B554="","Needs ID",IF(OR(C554="loan",C554="send_out"),IF(COUNTIF($L$2:$L$1001,B554)&gt;0,"Closed",IF(K554="","Open",IF(K554&lt;NOW(),"Overdue","Open"))),IF(C554="return",IF(OR(L554="",COUNTIF($B$2:$B$1001,L554)=0),"No match",IF(OR(M554="worn",M554="damaged"),"Quarantine","Returned")),IF(C554="issue","Issued",IF(C554="transfer","Moved",IF(C554="write_off","Written off",IF(C554="unfilled","Unfilled",""))))))))</f>
      </c>
      <c r="B554" s="31"/>
      <c r="C554" s="35"/>
      <c r="D554" s="33"/>
      <c r="E554" s="31"/>
      <c r="F554" s="31"/>
      <c r="G554" s="37">
        <f>IF(F554="","",IF(ISNA(MATCH(F554,'Item master'!$A$2:$A$301,0)),"Not in Item master",IFERROR(INDEX('Item master'!$B$2:$B$301,MATCH(F554,'Item master'!$A$2:$A$301,0))&amp;"","")))</f>
      </c>
      <c r="H554" s="34"/>
      <c r="I554" s="31"/>
      <c r="J554" s="31"/>
      <c r="K554" s="33"/>
      <c r="L554" s="31"/>
      <c r="M554" s="35"/>
      <c r="N554" s="30"/>
      <c r="O554" s="30"/>
      <c r="P554" s="36"/>
      <c r="Q554" s="38">
        <f>IF(OR(C554&lt;&gt;"loan",E554=""),"",IF(ISNA(MATCH(E554,Units!$A$2:$A$501,0)),"",IF(INDEX(Units!$E$2:$E$501,MATCH(E554,Units!$A$2:$A$501,0))="","",IF(K554="","No due date",IF(INT(K554)&gt;INDEX(Units!$E$2:$E$501,MATCH(E554,Units!$A$2:$A$501,0)),"Past cal date","OK")))))</f>
      </c>
      <c r="R554" s="37">
        <f>IF(A554="Overdue",K554+ROW()/10000000,"")</f>
      </c>
    </row>
    <row r="555">
      <c r="A555" s="38">
        <f>IF(C555="","",IF(B555="","Needs ID",IF(OR(C555="loan",C555="send_out"),IF(COUNTIF($L$2:$L$1001,B555)&gt;0,"Closed",IF(K555="","Open",IF(K555&lt;NOW(),"Overdue","Open"))),IF(C555="return",IF(OR(L555="",COUNTIF($B$2:$B$1001,L555)=0),"No match",IF(OR(M555="worn",M555="damaged"),"Quarantine","Returned")),IF(C555="issue","Issued",IF(C555="transfer","Moved",IF(C555="write_off","Written off",IF(C555="unfilled","Unfilled",""))))))))</f>
      </c>
      <c r="B555" s="31"/>
      <c r="C555" s="35"/>
      <c r="D555" s="33"/>
      <c r="E555" s="31"/>
      <c r="F555" s="31"/>
      <c r="G555" s="37">
        <f>IF(F555="","",IF(ISNA(MATCH(F555,'Item master'!$A$2:$A$301,0)),"Not in Item master",IFERROR(INDEX('Item master'!$B$2:$B$301,MATCH(F555,'Item master'!$A$2:$A$301,0))&amp;"","")))</f>
      </c>
      <c r="H555" s="34"/>
      <c r="I555" s="31"/>
      <c r="J555" s="31"/>
      <c r="K555" s="33"/>
      <c r="L555" s="31"/>
      <c r="M555" s="35"/>
      <c r="N555" s="30"/>
      <c r="O555" s="30"/>
      <c r="P555" s="36"/>
      <c r="Q555" s="38">
        <f>IF(OR(C555&lt;&gt;"loan",E555=""),"",IF(ISNA(MATCH(E555,Units!$A$2:$A$501,0)),"",IF(INDEX(Units!$E$2:$E$501,MATCH(E555,Units!$A$2:$A$501,0))="","",IF(K555="","No due date",IF(INT(K555)&gt;INDEX(Units!$E$2:$E$501,MATCH(E555,Units!$A$2:$A$501,0)),"Past cal date","OK")))))</f>
      </c>
      <c r="R555" s="37">
        <f>IF(A555="Overdue",K555+ROW()/10000000,"")</f>
      </c>
    </row>
    <row r="556">
      <c r="A556" s="38">
        <f>IF(C556="","",IF(B556="","Needs ID",IF(OR(C556="loan",C556="send_out"),IF(COUNTIF($L$2:$L$1001,B556)&gt;0,"Closed",IF(K556="","Open",IF(K556&lt;NOW(),"Overdue","Open"))),IF(C556="return",IF(OR(L556="",COUNTIF($B$2:$B$1001,L556)=0),"No match",IF(OR(M556="worn",M556="damaged"),"Quarantine","Returned")),IF(C556="issue","Issued",IF(C556="transfer","Moved",IF(C556="write_off","Written off",IF(C556="unfilled","Unfilled",""))))))))</f>
      </c>
      <c r="B556" s="31"/>
      <c r="C556" s="35"/>
      <c r="D556" s="33"/>
      <c r="E556" s="31"/>
      <c r="F556" s="31"/>
      <c r="G556" s="37">
        <f>IF(F556="","",IF(ISNA(MATCH(F556,'Item master'!$A$2:$A$301,0)),"Not in Item master",IFERROR(INDEX('Item master'!$B$2:$B$301,MATCH(F556,'Item master'!$A$2:$A$301,0))&amp;"","")))</f>
      </c>
      <c r="H556" s="34"/>
      <c r="I556" s="31"/>
      <c r="J556" s="31"/>
      <c r="K556" s="33"/>
      <c r="L556" s="31"/>
      <c r="M556" s="35"/>
      <c r="N556" s="30"/>
      <c r="O556" s="30"/>
      <c r="P556" s="36"/>
      <c r="Q556" s="38">
        <f>IF(OR(C556&lt;&gt;"loan",E556=""),"",IF(ISNA(MATCH(E556,Units!$A$2:$A$501,0)),"",IF(INDEX(Units!$E$2:$E$501,MATCH(E556,Units!$A$2:$A$501,0))="","",IF(K556="","No due date",IF(INT(K556)&gt;INDEX(Units!$E$2:$E$501,MATCH(E556,Units!$A$2:$A$501,0)),"Past cal date","OK")))))</f>
      </c>
      <c r="R556" s="37">
        <f>IF(A556="Overdue",K556+ROW()/10000000,"")</f>
      </c>
    </row>
    <row r="557">
      <c r="A557" s="38">
        <f>IF(C557="","",IF(B557="","Needs ID",IF(OR(C557="loan",C557="send_out"),IF(COUNTIF($L$2:$L$1001,B557)&gt;0,"Closed",IF(K557="","Open",IF(K557&lt;NOW(),"Overdue","Open"))),IF(C557="return",IF(OR(L557="",COUNTIF($B$2:$B$1001,L557)=0),"No match",IF(OR(M557="worn",M557="damaged"),"Quarantine","Returned")),IF(C557="issue","Issued",IF(C557="transfer","Moved",IF(C557="write_off","Written off",IF(C557="unfilled","Unfilled",""))))))))</f>
      </c>
      <c r="B557" s="31"/>
      <c r="C557" s="35"/>
      <c r="D557" s="33"/>
      <c r="E557" s="31"/>
      <c r="F557" s="31"/>
      <c r="G557" s="37">
        <f>IF(F557="","",IF(ISNA(MATCH(F557,'Item master'!$A$2:$A$301,0)),"Not in Item master",IFERROR(INDEX('Item master'!$B$2:$B$301,MATCH(F557,'Item master'!$A$2:$A$301,0))&amp;"","")))</f>
      </c>
      <c r="H557" s="34"/>
      <c r="I557" s="31"/>
      <c r="J557" s="31"/>
      <c r="K557" s="33"/>
      <c r="L557" s="31"/>
      <c r="M557" s="35"/>
      <c r="N557" s="30"/>
      <c r="O557" s="30"/>
      <c r="P557" s="36"/>
      <c r="Q557" s="38">
        <f>IF(OR(C557&lt;&gt;"loan",E557=""),"",IF(ISNA(MATCH(E557,Units!$A$2:$A$501,0)),"",IF(INDEX(Units!$E$2:$E$501,MATCH(E557,Units!$A$2:$A$501,0))="","",IF(K557="","No due date",IF(INT(K557)&gt;INDEX(Units!$E$2:$E$501,MATCH(E557,Units!$A$2:$A$501,0)),"Past cal date","OK")))))</f>
      </c>
      <c r="R557" s="37">
        <f>IF(A557="Overdue",K557+ROW()/10000000,"")</f>
      </c>
    </row>
    <row r="558">
      <c r="A558" s="38">
        <f>IF(C558="","",IF(B558="","Needs ID",IF(OR(C558="loan",C558="send_out"),IF(COUNTIF($L$2:$L$1001,B558)&gt;0,"Closed",IF(K558="","Open",IF(K558&lt;NOW(),"Overdue","Open"))),IF(C558="return",IF(OR(L558="",COUNTIF($B$2:$B$1001,L558)=0),"No match",IF(OR(M558="worn",M558="damaged"),"Quarantine","Returned")),IF(C558="issue","Issued",IF(C558="transfer","Moved",IF(C558="write_off","Written off",IF(C558="unfilled","Unfilled",""))))))))</f>
      </c>
      <c r="B558" s="31"/>
      <c r="C558" s="35"/>
      <c r="D558" s="33"/>
      <c r="E558" s="31"/>
      <c r="F558" s="31"/>
      <c r="G558" s="37">
        <f>IF(F558="","",IF(ISNA(MATCH(F558,'Item master'!$A$2:$A$301,0)),"Not in Item master",IFERROR(INDEX('Item master'!$B$2:$B$301,MATCH(F558,'Item master'!$A$2:$A$301,0))&amp;"","")))</f>
      </c>
      <c r="H558" s="34"/>
      <c r="I558" s="31"/>
      <c r="J558" s="31"/>
      <c r="K558" s="33"/>
      <c r="L558" s="31"/>
      <c r="M558" s="35"/>
      <c r="N558" s="30"/>
      <c r="O558" s="30"/>
      <c r="P558" s="36"/>
      <c r="Q558" s="38">
        <f>IF(OR(C558&lt;&gt;"loan",E558=""),"",IF(ISNA(MATCH(E558,Units!$A$2:$A$501,0)),"",IF(INDEX(Units!$E$2:$E$501,MATCH(E558,Units!$A$2:$A$501,0))="","",IF(K558="","No due date",IF(INT(K558)&gt;INDEX(Units!$E$2:$E$501,MATCH(E558,Units!$A$2:$A$501,0)),"Past cal date","OK")))))</f>
      </c>
      <c r="R558" s="37">
        <f>IF(A558="Overdue",K558+ROW()/10000000,"")</f>
      </c>
    </row>
    <row r="559">
      <c r="A559" s="38">
        <f>IF(C559="","",IF(B559="","Needs ID",IF(OR(C559="loan",C559="send_out"),IF(COUNTIF($L$2:$L$1001,B559)&gt;0,"Closed",IF(K559="","Open",IF(K559&lt;NOW(),"Overdue","Open"))),IF(C559="return",IF(OR(L559="",COUNTIF($B$2:$B$1001,L559)=0),"No match",IF(OR(M559="worn",M559="damaged"),"Quarantine","Returned")),IF(C559="issue","Issued",IF(C559="transfer","Moved",IF(C559="write_off","Written off",IF(C559="unfilled","Unfilled",""))))))))</f>
      </c>
      <c r="B559" s="31"/>
      <c r="C559" s="35"/>
      <c r="D559" s="33"/>
      <c r="E559" s="31"/>
      <c r="F559" s="31"/>
      <c r="G559" s="37">
        <f>IF(F559="","",IF(ISNA(MATCH(F559,'Item master'!$A$2:$A$301,0)),"Not in Item master",IFERROR(INDEX('Item master'!$B$2:$B$301,MATCH(F559,'Item master'!$A$2:$A$301,0))&amp;"","")))</f>
      </c>
      <c r="H559" s="34"/>
      <c r="I559" s="31"/>
      <c r="J559" s="31"/>
      <c r="K559" s="33"/>
      <c r="L559" s="31"/>
      <c r="M559" s="35"/>
      <c r="N559" s="30"/>
      <c r="O559" s="30"/>
      <c r="P559" s="36"/>
      <c r="Q559" s="38">
        <f>IF(OR(C559&lt;&gt;"loan",E559=""),"",IF(ISNA(MATCH(E559,Units!$A$2:$A$501,0)),"",IF(INDEX(Units!$E$2:$E$501,MATCH(E559,Units!$A$2:$A$501,0))="","",IF(K559="","No due date",IF(INT(K559)&gt;INDEX(Units!$E$2:$E$501,MATCH(E559,Units!$A$2:$A$501,0)),"Past cal date","OK")))))</f>
      </c>
      <c r="R559" s="37">
        <f>IF(A559="Overdue",K559+ROW()/10000000,"")</f>
      </c>
    </row>
    <row r="560">
      <c r="A560" s="38">
        <f>IF(C560="","",IF(B560="","Needs ID",IF(OR(C560="loan",C560="send_out"),IF(COUNTIF($L$2:$L$1001,B560)&gt;0,"Closed",IF(K560="","Open",IF(K560&lt;NOW(),"Overdue","Open"))),IF(C560="return",IF(OR(L560="",COUNTIF($B$2:$B$1001,L560)=0),"No match",IF(OR(M560="worn",M560="damaged"),"Quarantine","Returned")),IF(C560="issue","Issued",IF(C560="transfer","Moved",IF(C560="write_off","Written off",IF(C560="unfilled","Unfilled",""))))))))</f>
      </c>
      <c r="B560" s="31"/>
      <c r="C560" s="35"/>
      <c r="D560" s="33"/>
      <c r="E560" s="31"/>
      <c r="F560" s="31"/>
      <c r="G560" s="37">
        <f>IF(F560="","",IF(ISNA(MATCH(F560,'Item master'!$A$2:$A$301,0)),"Not in Item master",IFERROR(INDEX('Item master'!$B$2:$B$301,MATCH(F560,'Item master'!$A$2:$A$301,0))&amp;"","")))</f>
      </c>
      <c r="H560" s="34"/>
      <c r="I560" s="31"/>
      <c r="J560" s="31"/>
      <c r="K560" s="33"/>
      <c r="L560" s="31"/>
      <c r="M560" s="35"/>
      <c r="N560" s="30"/>
      <c r="O560" s="30"/>
      <c r="P560" s="36"/>
      <c r="Q560" s="38">
        <f>IF(OR(C560&lt;&gt;"loan",E560=""),"",IF(ISNA(MATCH(E560,Units!$A$2:$A$501,0)),"",IF(INDEX(Units!$E$2:$E$501,MATCH(E560,Units!$A$2:$A$501,0))="","",IF(K560="","No due date",IF(INT(K560)&gt;INDEX(Units!$E$2:$E$501,MATCH(E560,Units!$A$2:$A$501,0)),"Past cal date","OK")))))</f>
      </c>
      <c r="R560" s="37">
        <f>IF(A560="Overdue",K560+ROW()/10000000,"")</f>
      </c>
    </row>
    <row r="561">
      <c r="A561" s="38">
        <f>IF(C561="","",IF(B561="","Needs ID",IF(OR(C561="loan",C561="send_out"),IF(COUNTIF($L$2:$L$1001,B561)&gt;0,"Closed",IF(K561="","Open",IF(K561&lt;NOW(),"Overdue","Open"))),IF(C561="return",IF(OR(L561="",COUNTIF($B$2:$B$1001,L561)=0),"No match",IF(OR(M561="worn",M561="damaged"),"Quarantine","Returned")),IF(C561="issue","Issued",IF(C561="transfer","Moved",IF(C561="write_off","Written off",IF(C561="unfilled","Unfilled",""))))))))</f>
      </c>
      <c r="B561" s="31"/>
      <c r="C561" s="35"/>
      <c r="D561" s="33"/>
      <c r="E561" s="31"/>
      <c r="F561" s="31"/>
      <c r="G561" s="37">
        <f>IF(F561="","",IF(ISNA(MATCH(F561,'Item master'!$A$2:$A$301,0)),"Not in Item master",IFERROR(INDEX('Item master'!$B$2:$B$301,MATCH(F561,'Item master'!$A$2:$A$301,0))&amp;"","")))</f>
      </c>
      <c r="H561" s="34"/>
      <c r="I561" s="31"/>
      <c r="J561" s="31"/>
      <c r="K561" s="33"/>
      <c r="L561" s="31"/>
      <c r="M561" s="35"/>
      <c r="N561" s="30"/>
      <c r="O561" s="30"/>
      <c r="P561" s="36"/>
      <c r="Q561" s="38">
        <f>IF(OR(C561&lt;&gt;"loan",E561=""),"",IF(ISNA(MATCH(E561,Units!$A$2:$A$501,0)),"",IF(INDEX(Units!$E$2:$E$501,MATCH(E561,Units!$A$2:$A$501,0))="","",IF(K561="","No due date",IF(INT(K561)&gt;INDEX(Units!$E$2:$E$501,MATCH(E561,Units!$A$2:$A$501,0)),"Past cal date","OK")))))</f>
      </c>
      <c r="R561" s="37">
        <f>IF(A561="Overdue",K561+ROW()/10000000,"")</f>
      </c>
    </row>
    <row r="562">
      <c r="A562" s="38">
        <f>IF(C562="","",IF(B562="","Needs ID",IF(OR(C562="loan",C562="send_out"),IF(COUNTIF($L$2:$L$1001,B562)&gt;0,"Closed",IF(K562="","Open",IF(K562&lt;NOW(),"Overdue","Open"))),IF(C562="return",IF(OR(L562="",COUNTIF($B$2:$B$1001,L562)=0),"No match",IF(OR(M562="worn",M562="damaged"),"Quarantine","Returned")),IF(C562="issue","Issued",IF(C562="transfer","Moved",IF(C562="write_off","Written off",IF(C562="unfilled","Unfilled",""))))))))</f>
      </c>
      <c r="B562" s="31"/>
      <c r="C562" s="35"/>
      <c r="D562" s="33"/>
      <c r="E562" s="31"/>
      <c r="F562" s="31"/>
      <c r="G562" s="37">
        <f>IF(F562="","",IF(ISNA(MATCH(F562,'Item master'!$A$2:$A$301,0)),"Not in Item master",IFERROR(INDEX('Item master'!$B$2:$B$301,MATCH(F562,'Item master'!$A$2:$A$301,0))&amp;"","")))</f>
      </c>
      <c r="H562" s="34"/>
      <c r="I562" s="31"/>
      <c r="J562" s="31"/>
      <c r="K562" s="33"/>
      <c r="L562" s="31"/>
      <c r="M562" s="35"/>
      <c r="N562" s="30"/>
      <c r="O562" s="30"/>
      <c r="P562" s="36"/>
      <c r="Q562" s="38">
        <f>IF(OR(C562&lt;&gt;"loan",E562=""),"",IF(ISNA(MATCH(E562,Units!$A$2:$A$501,0)),"",IF(INDEX(Units!$E$2:$E$501,MATCH(E562,Units!$A$2:$A$501,0))="","",IF(K562="","No due date",IF(INT(K562)&gt;INDEX(Units!$E$2:$E$501,MATCH(E562,Units!$A$2:$A$501,0)),"Past cal date","OK")))))</f>
      </c>
      <c r="R562" s="37">
        <f>IF(A562="Overdue",K562+ROW()/10000000,"")</f>
      </c>
    </row>
    <row r="563">
      <c r="A563" s="38">
        <f>IF(C563="","",IF(B563="","Needs ID",IF(OR(C563="loan",C563="send_out"),IF(COUNTIF($L$2:$L$1001,B563)&gt;0,"Closed",IF(K563="","Open",IF(K563&lt;NOW(),"Overdue","Open"))),IF(C563="return",IF(OR(L563="",COUNTIF($B$2:$B$1001,L563)=0),"No match",IF(OR(M563="worn",M563="damaged"),"Quarantine","Returned")),IF(C563="issue","Issued",IF(C563="transfer","Moved",IF(C563="write_off","Written off",IF(C563="unfilled","Unfilled",""))))))))</f>
      </c>
      <c r="B563" s="31"/>
      <c r="C563" s="35"/>
      <c r="D563" s="33"/>
      <c r="E563" s="31"/>
      <c r="F563" s="31"/>
      <c r="G563" s="37">
        <f>IF(F563="","",IF(ISNA(MATCH(F563,'Item master'!$A$2:$A$301,0)),"Not in Item master",IFERROR(INDEX('Item master'!$B$2:$B$301,MATCH(F563,'Item master'!$A$2:$A$301,0))&amp;"","")))</f>
      </c>
      <c r="H563" s="34"/>
      <c r="I563" s="31"/>
      <c r="J563" s="31"/>
      <c r="K563" s="33"/>
      <c r="L563" s="31"/>
      <c r="M563" s="35"/>
      <c r="N563" s="30"/>
      <c r="O563" s="30"/>
      <c r="P563" s="36"/>
      <c r="Q563" s="38">
        <f>IF(OR(C563&lt;&gt;"loan",E563=""),"",IF(ISNA(MATCH(E563,Units!$A$2:$A$501,0)),"",IF(INDEX(Units!$E$2:$E$501,MATCH(E563,Units!$A$2:$A$501,0))="","",IF(K563="","No due date",IF(INT(K563)&gt;INDEX(Units!$E$2:$E$501,MATCH(E563,Units!$A$2:$A$501,0)),"Past cal date","OK")))))</f>
      </c>
      <c r="R563" s="37">
        <f>IF(A563="Overdue",K563+ROW()/10000000,"")</f>
      </c>
    </row>
    <row r="564">
      <c r="A564" s="38">
        <f>IF(C564="","",IF(B564="","Needs ID",IF(OR(C564="loan",C564="send_out"),IF(COUNTIF($L$2:$L$1001,B564)&gt;0,"Closed",IF(K564="","Open",IF(K564&lt;NOW(),"Overdue","Open"))),IF(C564="return",IF(OR(L564="",COUNTIF($B$2:$B$1001,L564)=0),"No match",IF(OR(M564="worn",M564="damaged"),"Quarantine","Returned")),IF(C564="issue","Issued",IF(C564="transfer","Moved",IF(C564="write_off","Written off",IF(C564="unfilled","Unfilled",""))))))))</f>
      </c>
      <c r="B564" s="31"/>
      <c r="C564" s="35"/>
      <c r="D564" s="33"/>
      <c r="E564" s="31"/>
      <c r="F564" s="31"/>
      <c r="G564" s="37">
        <f>IF(F564="","",IF(ISNA(MATCH(F564,'Item master'!$A$2:$A$301,0)),"Not in Item master",IFERROR(INDEX('Item master'!$B$2:$B$301,MATCH(F564,'Item master'!$A$2:$A$301,0))&amp;"","")))</f>
      </c>
      <c r="H564" s="34"/>
      <c r="I564" s="31"/>
      <c r="J564" s="31"/>
      <c r="K564" s="33"/>
      <c r="L564" s="31"/>
      <c r="M564" s="35"/>
      <c r="N564" s="30"/>
      <c r="O564" s="30"/>
      <c r="P564" s="36"/>
      <c r="Q564" s="38">
        <f>IF(OR(C564&lt;&gt;"loan",E564=""),"",IF(ISNA(MATCH(E564,Units!$A$2:$A$501,0)),"",IF(INDEX(Units!$E$2:$E$501,MATCH(E564,Units!$A$2:$A$501,0))="","",IF(K564="","No due date",IF(INT(K564)&gt;INDEX(Units!$E$2:$E$501,MATCH(E564,Units!$A$2:$A$501,0)),"Past cal date","OK")))))</f>
      </c>
      <c r="R564" s="37">
        <f>IF(A564="Overdue",K564+ROW()/10000000,"")</f>
      </c>
    </row>
    <row r="565">
      <c r="A565" s="38">
        <f>IF(C565="","",IF(B565="","Needs ID",IF(OR(C565="loan",C565="send_out"),IF(COUNTIF($L$2:$L$1001,B565)&gt;0,"Closed",IF(K565="","Open",IF(K565&lt;NOW(),"Overdue","Open"))),IF(C565="return",IF(OR(L565="",COUNTIF($B$2:$B$1001,L565)=0),"No match",IF(OR(M565="worn",M565="damaged"),"Quarantine","Returned")),IF(C565="issue","Issued",IF(C565="transfer","Moved",IF(C565="write_off","Written off",IF(C565="unfilled","Unfilled",""))))))))</f>
      </c>
      <c r="B565" s="31"/>
      <c r="C565" s="35"/>
      <c r="D565" s="33"/>
      <c r="E565" s="31"/>
      <c r="F565" s="31"/>
      <c r="G565" s="37">
        <f>IF(F565="","",IF(ISNA(MATCH(F565,'Item master'!$A$2:$A$301,0)),"Not in Item master",IFERROR(INDEX('Item master'!$B$2:$B$301,MATCH(F565,'Item master'!$A$2:$A$301,0))&amp;"","")))</f>
      </c>
      <c r="H565" s="34"/>
      <c r="I565" s="31"/>
      <c r="J565" s="31"/>
      <c r="K565" s="33"/>
      <c r="L565" s="31"/>
      <c r="M565" s="35"/>
      <c r="N565" s="30"/>
      <c r="O565" s="30"/>
      <c r="P565" s="36"/>
      <c r="Q565" s="38">
        <f>IF(OR(C565&lt;&gt;"loan",E565=""),"",IF(ISNA(MATCH(E565,Units!$A$2:$A$501,0)),"",IF(INDEX(Units!$E$2:$E$501,MATCH(E565,Units!$A$2:$A$501,0))="","",IF(K565="","No due date",IF(INT(K565)&gt;INDEX(Units!$E$2:$E$501,MATCH(E565,Units!$A$2:$A$501,0)),"Past cal date","OK")))))</f>
      </c>
      <c r="R565" s="37">
        <f>IF(A565="Overdue",K565+ROW()/10000000,"")</f>
      </c>
    </row>
    <row r="566">
      <c r="A566" s="38">
        <f>IF(C566="","",IF(B566="","Needs ID",IF(OR(C566="loan",C566="send_out"),IF(COUNTIF($L$2:$L$1001,B566)&gt;0,"Closed",IF(K566="","Open",IF(K566&lt;NOW(),"Overdue","Open"))),IF(C566="return",IF(OR(L566="",COUNTIF($B$2:$B$1001,L566)=0),"No match",IF(OR(M566="worn",M566="damaged"),"Quarantine","Returned")),IF(C566="issue","Issued",IF(C566="transfer","Moved",IF(C566="write_off","Written off",IF(C566="unfilled","Unfilled",""))))))))</f>
      </c>
      <c r="B566" s="31"/>
      <c r="C566" s="35"/>
      <c r="D566" s="33"/>
      <c r="E566" s="31"/>
      <c r="F566" s="31"/>
      <c r="G566" s="37">
        <f>IF(F566="","",IF(ISNA(MATCH(F566,'Item master'!$A$2:$A$301,0)),"Not in Item master",IFERROR(INDEX('Item master'!$B$2:$B$301,MATCH(F566,'Item master'!$A$2:$A$301,0))&amp;"","")))</f>
      </c>
      <c r="H566" s="34"/>
      <c r="I566" s="31"/>
      <c r="J566" s="31"/>
      <c r="K566" s="33"/>
      <c r="L566" s="31"/>
      <c r="M566" s="35"/>
      <c r="N566" s="30"/>
      <c r="O566" s="30"/>
      <c r="P566" s="36"/>
      <c r="Q566" s="38">
        <f>IF(OR(C566&lt;&gt;"loan",E566=""),"",IF(ISNA(MATCH(E566,Units!$A$2:$A$501,0)),"",IF(INDEX(Units!$E$2:$E$501,MATCH(E566,Units!$A$2:$A$501,0))="","",IF(K566="","No due date",IF(INT(K566)&gt;INDEX(Units!$E$2:$E$501,MATCH(E566,Units!$A$2:$A$501,0)),"Past cal date","OK")))))</f>
      </c>
      <c r="R566" s="37">
        <f>IF(A566="Overdue",K566+ROW()/10000000,"")</f>
      </c>
    </row>
    <row r="567">
      <c r="A567" s="38">
        <f>IF(C567="","",IF(B567="","Needs ID",IF(OR(C567="loan",C567="send_out"),IF(COUNTIF($L$2:$L$1001,B567)&gt;0,"Closed",IF(K567="","Open",IF(K567&lt;NOW(),"Overdue","Open"))),IF(C567="return",IF(OR(L567="",COUNTIF($B$2:$B$1001,L567)=0),"No match",IF(OR(M567="worn",M567="damaged"),"Quarantine","Returned")),IF(C567="issue","Issued",IF(C567="transfer","Moved",IF(C567="write_off","Written off",IF(C567="unfilled","Unfilled",""))))))))</f>
      </c>
      <c r="B567" s="31"/>
      <c r="C567" s="35"/>
      <c r="D567" s="33"/>
      <c r="E567" s="31"/>
      <c r="F567" s="31"/>
      <c r="G567" s="37">
        <f>IF(F567="","",IF(ISNA(MATCH(F567,'Item master'!$A$2:$A$301,0)),"Not in Item master",IFERROR(INDEX('Item master'!$B$2:$B$301,MATCH(F567,'Item master'!$A$2:$A$301,0))&amp;"","")))</f>
      </c>
      <c r="H567" s="34"/>
      <c r="I567" s="31"/>
      <c r="J567" s="31"/>
      <c r="K567" s="33"/>
      <c r="L567" s="31"/>
      <c r="M567" s="35"/>
      <c r="N567" s="30"/>
      <c r="O567" s="30"/>
      <c r="P567" s="36"/>
      <c r="Q567" s="38">
        <f>IF(OR(C567&lt;&gt;"loan",E567=""),"",IF(ISNA(MATCH(E567,Units!$A$2:$A$501,0)),"",IF(INDEX(Units!$E$2:$E$501,MATCH(E567,Units!$A$2:$A$501,0))="","",IF(K567="","No due date",IF(INT(K567)&gt;INDEX(Units!$E$2:$E$501,MATCH(E567,Units!$A$2:$A$501,0)),"Past cal date","OK")))))</f>
      </c>
      <c r="R567" s="37">
        <f>IF(A567="Overdue",K567+ROW()/10000000,"")</f>
      </c>
    </row>
    <row r="568">
      <c r="A568" s="38">
        <f>IF(C568="","",IF(B568="","Needs ID",IF(OR(C568="loan",C568="send_out"),IF(COUNTIF($L$2:$L$1001,B568)&gt;0,"Closed",IF(K568="","Open",IF(K568&lt;NOW(),"Overdue","Open"))),IF(C568="return",IF(OR(L568="",COUNTIF($B$2:$B$1001,L568)=0),"No match",IF(OR(M568="worn",M568="damaged"),"Quarantine","Returned")),IF(C568="issue","Issued",IF(C568="transfer","Moved",IF(C568="write_off","Written off",IF(C568="unfilled","Unfilled",""))))))))</f>
      </c>
      <c r="B568" s="31"/>
      <c r="C568" s="35"/>
      <c r="D568" s="33"/>
      <c r="E568" s="31"/>
      <c r="F568" s="31"/>
      <c r="G568" s="37">
        <f>IF(F568="","",IF(ISNA(MATCH(F568,'Item master'!$A$2:$A$301,0)),"Not in Item master",IFERROR(INDEX('Item master'!$B$2:$B$301,MATCH(F568,'Item master'!$A$2:$A$301,0))&amp;"","")))</f>
      </c>
      <c r="H568" s="34"/>
      <c r="I568" s="31"/>
      <c r="J568" s="31"/>
      <c r="K568" s="33"/>
      <c r="L568" s="31"/>
      <c r="M568" s="35"/>
      <c r="N568" s="30"/>
      <c r="O568" s="30"/>
      <c r="P568" s="36"/>
      <c r="Q568" s="38">
        <f>IF(OR(C568&lt;&gt;"loan",E568=""),"",IF(ISNA(MATCH(E568,Units!$A$2:$A$501,0)),"",IF(INDEX(Units!$E$2:$E$501,MATCH(E568,Units!$A$2:$A$501,0))="","",IF(K568="","No due date",IF(INT(K568)&gt;INDEX(Units!$E$2:$E$501,MATCH(E568,Units!$A$2:$A$501,0)),"Past cal date","OK")))))</f>
      </c>
      <c r="R568" s="37">
        <f>IF(A568="Overdue",K568+ROW()/10000000,"")</f>
      </c>
    </row>
    <row r="569">
      <c r="A569" s="38">
        <f>IF(C569="","",IF(B569="","Needs ID",IF(OR(C569="loan",C569="send_out"),IF(COUNTIF($L$2:$L$1001,B569)&gt;0,"Closed",IF(K569="","Open",IF(K569&lt;NOW(),"Overdue","Open"))),IF(C569="return",IF(OR(L569="",COUNTIF($B$2:$B$1001,L569)=0),"No match",IF(OR(M569="worn",M569="damaged"),"Quarantine","Returned")),IF(C569="issue","Issued",IF(C569="transfer","Moved",IF(C569="write_off","Written off",IF(C569="unfilled","Unfilled",""))))))))</f>
      </c>
      <c r="B569" s="31"/>
      <c r="C569" s="35"/>
      <c r="D569" s="33"/>
      <c r="E569" s="31"/>
      <c r="F569" s="31"/>
      <c r="G569" s="37">
        <f>IF(F569="","",IF(ISNA(MATCH(F569,'Item master'!$A$2:$A$301,0)),"Not in Item master",IFERROR(INDEX('Item master'!$B$2:$B$301,MATCH(F569,'Item master'!$A$2:$A$301,0))&amp;"","")))</f>
      </c>
      <c r="H569" s="34"/>
      <c r="I569" s="31"/>
      <c r="J569" s="31"/>
      <c r="K569" s="33"/>
      <c r="L569" s="31"/>
      <c r="M569" s="35"/>
      <c r="N569" s="30"/>
      <c r="O569" s="30"/>
      <c r="P569" s="36"/>
      <c r="Q569" s="38">
        <f>IF(OR(C569&lt;&gt;"loan",E569=""),"",IF(ISNA(MATCH(E569,Units!$A$2:$A$501,0)),"",IF(INDEX(Units!$E$2:$E$501,MATCH(E569,Units!$A$2:$A$501,0))="","",IF(K569="","No due date",IF(INT(K569)&gt;INDEX(Units!$E$2:$E$501,MATCH(E569,Units!$A$2:$A$501,0)),"Past cal date","OK")))))</f>
      </c>
      <c r="R569" s="37">
        <f>IF(A569="Overdue",K569+ROW()/10000000,"")</f>
      </c>
    </row>
    <row r="570">
      <c r="A570" s="38">
        <f>IF(C570="","",IF(B570="","Needs ID",IF(OR(C570="loan",C570="send_out"),IF(COUNTIF($L$2:$L$1001,B570)&gt;0,"Closed",IF(K570="","Open",IF(K570&lt;NOW(),"Overdue","Open"))),IF(C570="return",IF(OR(L570="",COUNTIF($B$2:$B$1001,L570)=0),"No match",IF(OR(M570="worn",M570="damaged"),"Quarantine","Returned")),IF(C570="issue","Issued",IF(C570="transfer","Moved",IF(C570="write_off","Written off",IF(C570="unfilled","Unfilled",""))))))))</f>
      </c>
      <c r="B570" s="31"/>
      <c r="C570" s="35"/>
      <c r="D570" s="33"/>
      <c r="E570" s="31"/>
      <c r="F570" s="31"/>
      <c r="G570" s="37">
        <f>IF(F570="","",IF(ISNA(MATCH(F570,'Item master'!$A$2:$A$301,0)),"Not in Item master",IFERROR(INDEX('Item master'!$B$2:$B$301,MATCH(F570,'Item master'!$A$2:$A$301,0))&amp;"","")))</f>
      </c>
      <c r="H570" s="34"/>
      <c r="I570" s="31"/>
      <c r="J570" s="31"/>
      <c r="K570" s="33"/>
      <c r="L570" s="31"/>
      <c r="M570" s="35"/>
      <c r="N570" s="30"/>
      <c r="O570" s="30"/>
      <c r="P570" s="36"/>
      <c r="Q570" s="38">
        <f>IF(OR(C570&lt;&gt;"loan",E570=""),"",IF(ISNA(MATCH(E570,Units!$A$2:$A$501,0)),"",IF(INDEX(Units!$E$2:$E$501,MATCH(E570,Units!$A$2:$A$501,0))="","",IF(K570="","No due date",IF(INT(K570)&gt;INDEX(Units!$E$2:$E$501,MATCH(E570,Units!$A$2:$A$501,0)),"Past cal date","OK")))))</f>
      </c>
      <c r="R570" s="37">
        <f>IF(A570="Overdue",K570+ROW()/10000000,"")</f>
      </c>
    </row>
    <row r="571">
      <c r="A571" s="38">
        <f>IF(C571="","",IF(B571="","Needs ID",IF(OR(C571="loan",C571="send_out"),IF(COUNTIF($L$2:$L$1001,B571)&gt;0,"Closed",IF(K571="","Open",IF(K571&lt;NOW(),"Overdue","Open"))),IF(C571="return",IF(OR(L571="",COUNTIF($B$2:$B$1001,L571)=0),"No match",IF(OR(M571="worn",M571="damaged"),"Quarantine","Returned")),IF(C571="issue","Issued",IF(C571="transfer","Moved",IF(C571="write_off","Written off",IF(C571="unfilled","Unfilled",""))))))))</f>
      </c>
      <c r="B571" s="31"/>
      <c r="C571" s="35"/>
      <c r="D571" s="33"/>
      <c r="E571" s="31"/>
      <c r="F571" s="31"/>
      <c r="G571" s="37">
        <f>IF(F571="","",IF(ISNA(MATCH(F571,'Item master'!$A$2:$A$301,0)),"Not in Item master",IFERROR(INDEX('Item master'!$B$2:$B$301,MATCH(F571,'Item master'!$A$2:$A$301,0))&amp;"","")))</f>
      </c>
      <c r="H571" s="34"/>
      <c r="I571" s="31"/>
      <c r="J571" s="31"/>
      <c r="K571" s="33"/>
      <c r="L571" s="31"/>
      <c r="M571" s="35"/>
      <c r="N571" s="30"/>
      <c r="O571" s="30"/>
      <c r="P571" s="36"/>
      <c r="Q571" s="38">
        <f>IF(OR(C571&lt;&gt;"loan",E571=""),"",IF(ISNA(MATCH(E571,Units!$A$2:$A$501,0)),"",IF(INDEX(Units!$E$2:$E$501,MATCH(E571,Units!$A$2:$A$501,0))="","",IF(K571="","No due date",IF(INT(K571)&gt;INDEX(Units!$E$2:$E$501,MATCH(E571,Units!$A$2:$A$501,0)),"Past cal date","OK")))))</f>
      </c>
      <c r="R571" s="37">
        <f>IF(A571="Overdue",K571+ROW()/10000000,"")</f>
      </c>
    </row>
    <row r="572">
      <c r="A572" s="38">
        <f>IF(C572="","",IF(B572="","Needs ID",IF(OR(C572="loan",C572="send_out"),IF(COUNTIF($L$2:$L$1001,B572)&gt;0,"Closed",IF(K572="","Open",IF(K572&lt;NOW(),"Overdue","Open"))),IF(C572="return",IF(OR(L572="",COUNTIF($B$2:$B$1001,L572)=0),"No match",IF(OR(M572="worn",M572="damaged"),"Quarantine","Returned")),IF(C572="issue","Issued",IF(C572="transfer","Moved",IF(C572="write_off","Written off",IF(C572="unfilled","Unfilled",""))))))))</f>
      </c>
      <c r="B572" s="31"/>
      <c r="C572" s="35"/>
      <c r="D572" s="33"/>
      <c r="E572" s="31"/>
      <c r="F572" s="31"/>
      <c r="G572" s="37">
        <f>IF(F572="","",IF(ISNA(MATCH(F572,'Item master'!$A$2:$A$301,0)),"Not in Item master",IFERROR(INDEX('Item master'!$B$2:$B$301,MATCH(F572,'Item master'!$A$2:$A$301,0))&amp;"","")))</f>
      </c>
      <c r="H572" s="34"/>
      <c r="I572" s="31"/>
      <c r="J572" s="31"/>
      <c r="K572" s="33"/>
      <c r="L572" s="31"/>
      <c r="M572" s="35"/>
      <c r="N572" s="30"/>
      <c r="O572" s="30"/>
      <c r="P572" s="36"/>
      <c r="Q572" s="38">
        <f>IF(OR(C572&lt;&gt;"loan",E572=""),"",IF(ISNA(MATCH(E572,Units!$A$2:$A$501,0)),"",IF(INDEX(Units!$E$2:$E$501,MATCH(E572,Units!$A$2:$A$501,0))="","",IF(K572="","No due date",IF(INT(K572)&gt;INDEX(Units!$E$2:$E$501,MATCH(E572,Units!$A$2:$A$501,0)),"Past cal date","OK")))))</f>
      </c>
      <c r="R572" s="37">
        <f>IF(A572="Overdue",K572+ROW()/10000000,"")</f>
      </c>
    </row>
    <row r="573">
      <c r="A573" s="38">
        <f>IF(C573="","",IF(B573="","Needs ID",IF(OR(C573="loan",C573="send_out"),IF(COUNTIF($L$2:$L$1001,B573)&gt;0,"Closed",IF(K573="","Open",IF(K573&lt;NOW(),"Overdue","Open"))),IF(C573="return",IF(OR(L573="",COUNTIF($B$2:$B$1001,L573)=0),"No match",IF(OR(M573="worn",M573="damaged"),"Quarantine","Returned")),IF(C573="issue","Issued",IF(C573="transfer","Moved",IF(C573="write_off","Written off",IF(C573="unfilled","Unfilled",""))))))))</f>
      </c>
      <c r="B573" s="31"/>
      <c r="C573" s="35"/>
      <c r="D573" s="33"/>
      <c r="E573" s="31"/>
      <c r="F573" s="31"/>
      <c r="G573" s="37">
        <f>IF(F573="","",IF(ISNA(MATCH(F573,'Item master'!$A$2:$A$301,0)),"Not in Item master",IFERROR(INDEX('Item master'!$B$2:$B$301,MATCH(F573,'Item master'!$A$2:$A$301,0))&amp;"","")))</f>
      </c>
      <c r="H573" s="34"/>
      <c r="I573" s="31"/>
      <c r="J573" s="31"/>
      <c r="K573" s="33"/>
      <c r="L573" s="31"/>
      <c r="M573" s="35"/>
      <c r="N573" s="30"/>
      <c r="O573" s="30"/>
      <c r="P573" s="36"/>
      <c r="Q573" s="38">
        <f>IF(OR(C573&lt;&gt;"loan",E573=""),"",IF(ISNA(MATCH(E573,Units!$A$2:$A$501,0)),"",IF(INDEX(Units!$E$2:$E$501,MATCH(E573,Units!$A$2:$A$501,0))="","",IF(K573="","No due date",IF(INT(K573)&gt;INDEX(Units!$E$2:$E$501,MATCH(E573,Units!$A$2:$A$501,0)),"Past cal date","OK")))))</f>
      </c>
      <c r="R573" s="37">
        <f>IF(A573="Overdue",K573+ROW()/10000000,"")</f>
      </c>
    </row>
    <row r="574">
      <c r="A574" s="38">
        <f>IF(C574="","",IF(B574="","Needs ID",IF(OR(C574="loan",C574="send_out"),IF(COUNTIF($L$2:$L$1001,B574)&gt;0,"Closed",IF(K574="","Open",IF(K574&lt;NOW(),"Overdue","Open"))),IF(C574="return",IF(OR(L574="",COUNTIF($B$2:$B$1001,L574)=0),"No match",IF(OR(M574="worn",M574="damaged"),"Quarantine","Returned")),IF(C574="issue","Issued",IF(C574="transfer","Moved",IF(C574="write_off","Written off",IF(C574="unfilled","Unfilled",""))))))))</f>
      </c>
      <c r="B574" s="31"/>
      <c r="C574" s="35"/>
      <c r="D574" s="33"/>
      <c r="E574" s="31"/>
      <c r="F574" s="31"/>
      <c r="G574" s="37">
        <f>IF(F574="","",IF(ISNA(MATCH(F574,'Item master'!$A$2:$A$301,0)),"Not in Item master",IFERROR(INDEX('Item master'!$B$2:$B$301,MATCH(F574,'Item master'!$A$2:$A$301,0))&amp;"","")))</f>
      </c>
      <c r="H574" s="34"/>
      <c r="I574" s="31"/>
      <c r="J574" s="31"/>
      <c r="K574" s="33"/>
      <c r="L574" s="31"/>
      <c r="M574" s="35"/>
      <c r="N574" s="30"/>
      <c r="O574" s="30"/>
      <c r="P574" s="36"/>
      <c r="Q574" s="38">
        <f>IF(OR(C574&lt;&gt;"loan",E574=""),"",IF(ISNA(MATCH(E574,Units!$A$2:$A$501,0)),"",IF(INDEX(Units!$E$2:$E$501,MATCH(E574,Units!$A$2:$A$501,0))="","",IF(K574="","No due date",IF(INT(K574)&gt;INDEX(Units!$E$2:$E$501,MATCH(E574,Units!$A$2:$A$501,0)),"Past cal date","OK")))))</f>
      </c>
      <c r="R574" s="37">
        <f>IF(A574="Overdue",K574+ROW()/10000000,"")</f>
      </c>
    </row>
    <row r="575">
      <c r="A575" s="38">
        <f>IF(C575="","",IF(B575="","Needs ID",IF(OR(C575="loan",C575="send_out"),IF(COUNTIF($L$2:$L$1001,B575)&gt;0,"Closed",IF(K575="","Open",IF(K575&lt;NOW(),"Overdue","Open"))),IF(C575="return",IF(OR(L575="",COUNTIF($B$2:$B$1001,L575)=0),"No match",IF(OR(M575="worn",M575="damaged"),"Quarantine","Returned")),IF(C575="issue","Issued",IF(C575="transfer","Moved",IF(C575="write_off","Written off",IF(C575="unfilled","Unfilled",""))))))))</f>
      </c>
      <c r="B575" s="31"/>
      <c r="C575" s="35"/>
      <c r="D575" s="33"/>
      <c r="E575" s="31"/>
      <c r="F575" s="31"/>
      <c r="G575" s="37">
        <f>IF(F575="","",IF(ISNA(MATCH(F575,'Item master'!$A$2:$A$301,0)),"Not in Item master",IFERROR(INDEX('Item master'!$B$2:$B$301,MATCH(F575,'Item master'!$A$2:$A$301,0))&amp;"","")))</f>
      </c>
      <c r="H575" s="34"/>
      <c r="I575" s="31"/>
      <c r="J575" s="31"/>
      <c r="K575" s="33"/>
      <c r="L575" s="31"/>
      <c r="M575" s="35"/>
      <c r="N575" s="30"/>
      <c r="O575" s="30"/>
      <c r="P575" s="36"/>
      <c r="Q575" s="38">
        <f>IF(OR(C575&lt;&gt;"loan",E575=""),"",IF(ISNA(MATCH(E575,Units!$A$2:$A$501,0)),"",IF(INDEX(Units!$E$2:$E$501,MATCH(E575,Units!$A$2:$A$501,0))="","",IF(K575="","No due date",IF(INT(K575)&gt;INDEX(Units!$E$2:$E$501,MATCH(E575,Units!$A$2:$A$501,0)),"Past cal date","OK")))))</f>
      </c>
      <c r="R575" s="37">
        <f>IF(A575="Overdue",K575+ROW()/10000000,"")</f>
      </c>
    </row>
    <row r="576">
      <c r="A576" s="38">
        <f>IF(C576="","",IF(B576="","Needs ID",IF(OR(C576="loan",C576="send_out"),IF(COUNTIF($L$2:$L$1001,B576)&gt;0,"Closed",IF(K576="","Open",IF(K576&lt;NOW(),"Overdue","Open"))),IF(C576="return",IF(OR(L576="",COUNTIF($B$2:$B$1001,L576)=0),"No match",IF(OR(M576="worn",M576="damaged"),"Quarantine","Returned")),IF(C576="issue","Issued",IF(C576="transfer","Moved",IF(C576="write_off","Written off",IF(C576="unfilled","Unfilled",""))))))))</f>
      </c>
      <c r="B576" s="31"/>
      <c r="C576" s="35"/>
      <c r="D576" s="33"/>
      <c r="E576" s="31"/>
      <c r="F576" s="31"/>
      <c r="G576" s="37">
        <f>IF(F576="","",IF(ISNA(MATCH(F576,'Item master'!$A$2:$A$301,0)),"Not in Item master",IFERROR(INDEX('Item master'!$B$2:$B$301,MATCH(F576,'Item master'!$A$2:$A$301,0))&amp;"","")))</f>
      </c>
      <c r="H576" s="34"/>
      <c r="I576" s="31"/>
      <c r="J576" s="31"/>
      <c r="K576" s="33"/>
      <c r="L576" s="31"/>
      <c r="M576" s="35"/>
      <c r="N576" s="30"/>
      <c r="O576" s="30"/>
      <c r="P576" s="36"/>
      <c r="Q576" s="38">
        <f>IF(OR(C576&lt;&gt;"loan",E576=""),"",IF(ISNA(MATCH(E576,Units!$A$2:$A$501,0)),"",IF(INDEX(Units!$E$2:$E$501,MATCH(E576,Units!$A$2:$A$501,0))="","",IF(K576="","No due date",IF(INT(K576)&gt;INDEX(Units!$E$2:$E$501,MATCH(E576,Units!$A$2:$A$501,0)),"Past cal date","OK")))))</f>
      </c>
      <c r="R576" s="37">
        <f>IF(A576="Overdue",K576+ROW()/10000000,"")</f>
      </c>
    </row>
    <row r="577">
      <c r="A577" s="38">
        <f>IF(C577="","",IF(B577="","Needs ID",IF(OR(C577="loan",C577="send_out"),IF(COUNTIF($L$2:$L$1001,B577)&gt;0,"Closed",IF(K577="","Open",IF(K577&lt;NOW(),"Overdue","Open"))),IF(C577="return",IF(OR(L577="",COUNTIF($B$2:$B$1001,L577)=0),"No match",IF(OR(M577="worn",M577="damaged"),"Quarantine","Returned")),IF(C577="issue","Issued",IF(C577="transfer","Moved",IF(C577="write_off","Written off",IF(C577="unfilled","Unfilled",""))))))))</f>
      </c>
      <c r="B577" s="31"/>
      <c r="C577" s="35"/>
      <c r="D577" s="33"/>
      <c r="E577" s="31"/>
      <c r="F577" s="31"/>
      <c r="G577" s="37">
        <f>IF(F577="","",IF(ISNA(MATCH(F577,'Item master'!$A$2:$A$301,0)),"Not in Item master",IFERROR(INDEX('Item master'!$B$2:$B$301,MATCH(F577,'Item master'!$A$2:$A$301,0))&amp;"","")))</f>
      </c>
      <c r="H577" s="34"/>
      <c r="I577" s="31"/>
      <c r="J577" s="31"/>
      <c r="K577" s="33"/>
      <c r="L577" s="31"/>
      <c r="M577" s="35"/>
      <c r="N577" s="30"/>
      <c r="O577" s="30"/>
      <c r="P577" s="36"/>
      <c r="Q577" s="38">
        <f>IF(OR(C577&lt;&gt;"loan",E577=""),"",IF(ISNA(MATCH(E577,Units!$A$2:$A$501,0)),"",IF(INDEX(Units!$E$2:$E$501,MATCH(E577,Units!$A$2:$A$501,0))="","",IF(K577="","No due date",IF(INT(K577)&gt;INDEX(Units!$E$2:$E$501,MATCH(E577,Units!$A$2:$A$501,0)),"Past cal date","OK")))))</f>
      </c>
      <c r="R577" s="37">
        <f>IF(A577="Overdue",K577+ROW()/10000000,"")</f>
      </c>
    </row>
    <row r="578">
      <c r="A578" s="38">
        <f>IF(C578="","",IF(B578="","Needs ID",IF(OR(C578="loan",C578="send_out"),IF(COUNTIF($L$2:$L$1001,B578)&gt;0,"Closed",IF(K578="","Open",IF(K578&lt;NOW(),"Overdue","Open"))),IF(C578="return",IF(OR(L578="",COUNTIF($B$2:$B$1001,L578)=0),"No match",IF(OR(M578="worn",M578="damaged"),"Quarantine","Returned")),IF(C578="issue","Issued",IF(C578="transfer","Moved",IF(C578="write_off","Written off",IF(C578="unfilled","Unfilled",""))))))))</f>
      </c>
      <c r="B578" s="31"/>
      <c r="C578" s="35"/>
      <c r="D578" s="33"/>
      <c r="E578" s="31"/>
      <c r="F578" s="31"/>
      <c r="G578" s="37">
        <f>IF(F578="","",IF(ISNA(MATCH(F578,'Item master'!$A$2:$A$301,0)),"Not in Item master",IFERROR(INDEX('Item master'!$B$2:$B$301,MATCH(F578,'Item master'!$A$2:$A$301,0))&amp;"","")))</f>
      </c>
      <c r="H578" s="34"/>
      <c r="I578" s="31"/>
      <c r="J578" s="31"/>
      <c r="K578" s="33"/>
      <c r="L578" s="31"/>
      <c r="M578" s="35"/>
      <c r="N578" s="30"/>
      <c r="O578" s="30"/>
      <c r="P578" s="36"/>
      <c r="Q578" s="38">
        <f>IF(OR(C578&lt;&gt;"loan",E578=""),"",IF(ISNA(MATCH(E578,Units!$A$2:$A$501,0)),"",IF(INDEX(Units!$E$2:$E$501,MATCH(E578,Units!$A$2:$A$501,0))="","",IF(K578="","No due date",IF(INT(K578)&gt;INDEX(Units!$E$2:$E$501,MATCH(E578,Units!$A$2:$A$501,0)),"Past cal date","OK")))))</f>
      </c>
      <c r="R578" s="37">
        <f>IF(A578="Overdue",K578+ROW()/10000000,"")</f>
      </c>
    </row>
    <row r="579">
      <c r="A579" s="38">
        <f>IF(C579="","",IF(B579="","Needs ID",IF(OR(C579="loan",C579="send_out"),IF(COUNTIF($L$2:$L$1001,B579)&gt;0,"Closed",IF(K579="","Open",IF(K579&lt;NOW(),"Overdue","Open"))),IF(C579="return",IF(OR(L579="",COUNTIF($B$2:$B$1001,L579)=0),"No match",IF(OR(M579="worn",M579="damaged"),"Quarantine","Returned")),IF(C579="issue","Issued",IF(C579="transfer","Moved",IF(C579="write_off","Written off",IF(C579="unfilled","Unfilled",""))))))))</f>
      </c>
      <c r="B579" s="31"/>
      <c r="C579" s="35"/>
      <c r="D579" s="33"/>
      <c r="E579" s="31"/>
      <c r="F579" s="31"/>
      <c r="G579" s="37">
        <f>IF(F579="","",IF(ISNA(MATCH(F579,'Item master'!$A$2:$A$301,0)),"Not in Item master",IFERROR(INDEX('Item master'!$B$2:$B$301,MATCH(F579,'Item master'!$A$2:$A$301,0))&amp;"","")))</f>
      </c>
      <c r="H579" s="34"/>
      <c r="I579" s="31"/>
      <c r="J579" s="31"/>
      <c r="K579" s="33"/>
      <c r="L579" s="31"/>
      <c r="M579" s="35"/>
      <c r="N579" s="30"/>
      <c r="O579" s="30"/>
      <c r="P579" s="36"/>
      <c r="Q579" s="38">
        <f>IF(OR(C579&lt;&gt;"loan",E579=""),"",IF(ISNA(MATCH(E579,Units!$A$2:$A$501,0)),"",IF(INDEX(Units!$E$2:$E$501,MATCH(E579,Units!$A$2:$A$501,0))="","",IF(K579="","No due date",IF(INT(K579)&gt;INDEX(Units!$E$2:$E$501,MATCH(E579,Units!$A$2:$A$501,0)),"Past cal date","OK")))))</f>
      </c>
      <c r="R579" s="37">
        <f>IF(A579="Overdue",K579+ROW()/10000000,"")</f>
      </c>
    </row>
    <row r="580">
      <c r="A580" s="38">
        <f>IF(C580="","",IF(B580="","Needs ID",IF(OR(C580="loan",C580="send_out"),IF(COUNTIF($L$2:$L$1001,B580)&gt;0,"Closed",IF(K580="","Open",IF(K580&lt;NOW(),"Overdue","Open"))),IF(C580="return",IF(OR(L580="",COUNTIF($B$2:$B$1001,L580)=0),"No match",IF(OR(M580="worn",M580="damaged"),"Quarantine","Returned")),IF(C580="issue","Issued",IF(C580="transfer","Moved",IF(C580="write_off","Written off",IF(C580="unfilled","Unfilled",""))))))))</f>
      </c>
      <c r="B580" s="31"/>
      <c r="C580" s="35"/>
      <c r="D580" s="33"/>
      <c r="E580" s="31"/>
      <c r="F580" s="31"/>
      <c r="G580" s="37">
        <f>IF(F580="","",IF(ISNA(MATCH(F580,'Item master'!$A$2:$A$301,0)),"Not in Item master",IFERROR(INDEX('Item master'!$B$2:$B$301,MATCH(F580,'Item master'!$A$2:$A$301,0))&amp;"","")))</f>
      </c>
      <c r="H580" s="34"/>
      <c r="I580" s="31"/>
      <c r="J580" s="31"/>
      <c r="K580" s="33"/>
      <c r="L580" s="31"/>
      <c r="M580" s="35"/>
      <c r="N580" s="30"/>
      <c r="O580" s="30"/>
      <c r="P580" s="36"/>
      <c r="Q580" s="38">
        <f>IF(OR(C580&lt;&gt;"loan",E580=""),"",IF(ISNA(MATCH(E580,Units!$A$2:$A$501,0)),"",IF(INDEX(Units!$E$2:$E$501,MATCH(E580,Units!$A$2:$A$501,0))="","",IF(K580="","No due date",IF(INT(K580)&gt;INDEX(Units!$E$2:$E$501,MATCH(E580,Units!$A$2:$A$501,0)),"Past cal date","OK")))))</f>
      </c>
      <c r="R580" s="37">
        <f>IF(A580="Overdue",K580+ROW()/10000000,"")</f>
      </c>
    </row>
    <row r="581">
      <c r="A581" s="38">
        <f>IF(C581="","",IF(B581="","Needs ID",IF(OR(C581="loan",C581="send_out"),IF(COUNTIF($L$2:$L$1001,B581)&gt;0,"Closed",IF(K581="","Open",IF(K581&lt;NOW(),"Overdue","Open"))),IF(C581="return",IF(OR(L581="",COUNTIF($B$2:$B$1001,L581)=0),"No match",IF(OR(M581="worn",M581="damaged"),"Quarantine","Returned")),IF(C581="issue","Issued",IF(C581="transfer","Moved",IF(C581="write_off","Written off",IF(C581="unfilled","Unfilled",""))))))))</f>
      </c>
      <c r="B581" s="31"/>
      <c r="C581" s="35"/>
      <c r="D581" s="33"/>
      <c r="E581" s="31"/>
      <c r="F581" s="31"/>
      <c r="G581" s="37">
        <f>IF(F581="","",IF(ISNA(MATCH(F581,'Item master'!$A$2:$A$301,0)),"Not in Item master",IFERROR(INDEX('Item master'!$B$2:$B$301,MATCH(F581,'Item master'!$A$2:$A$301,0))&amp;"","")))</f>
      </c>
      <c r="H581" s="34"/>
      <c r="I581" s="31"/>
      <c r="J581" s="31"/>
      <c r="K581" s="33"/>
      <c r="L581" s="31"/>
      <c r="M581" s="35"/>
      <c r="N581" s="30"/>
      <c r="O581" s="30"/>
      <c r="P581" s="36"/>
      <c r="Q581" s="38">
        <f>IF(OR(C581&lt;&gt;"loan",E581=""),"",IF(ISNA(MATCH(E581,Units!$A$2:$A$501,0)),"",IF(INDEX(Units!$E$2:$E$501,MATCH(E581,Units!$A$2:$A$501,0))="","",IF(K581="","No due date",IF(INT(K581)&gt;INDEX(Units!$E$2:$E$501,MATCH(E581,Units!$A$2:$A$501,0)),"Past cal date","OK")))))</f>
      </c>
      <c r="R581" s="37">
        <f>IF(A581="Overdue",K581+ROW()/10000000,"")</f>
      </c>
    </row>
    <row r="582">
      <c r="A582" s="38">
        <f>IF(C582="","",IF(B582="","Needs ID",IF(OR(C582="loan",C582="send_out"),IF(COUNTIF($L$2:$L$1001,B582)&gt;0,"Closed",IF(K582="","Open",IF(K582&lt;NOW(),"Overdue","Open"))),IF(C582="return",IF(OR(L582="",COUNTIF($B$2:$B$1001,L582)=0),"No match",IF(OR(M582="worn",M582="damaged"),"Quarantine","Returned")),IF(C582="issue","Issued",IF(C582="transfer","Moved",IF(C582="write_off","Written off",IF(C582="unfilled","Unfilled",""))))))))</f>
      </c>
      <c r="B582" s="31"/>
      <c r="C582" s="35"/>
      <c r="D582" s="33"/>
      <c r="E582" s="31"/>
      <c r="F582" s="31"/>
      <c r="G582" s="37">
        <f>IF(F582="","",IF(ISNA(MATCH(F582,'Item master'!$A$2:$A$301,0)),"Not in Item master",IFERROR(INDEX('Item master'!$B$2:$B$301,MATCH(F582,'Item master'!$A$2:$A$301,0))&amp;"","")))</f>
      </c>
      <c r="H582" s="34"/>
      <c r="I582" s="31"/>
      <c r="J582" s="31"/>
      <c r="K582" s="33"/>
      <c r="L582" s="31"/>
      <c r="M582" s="35"/>
      <c r="N582" s="30"/>
      <c r="O582" s="30"/>
      <c r="P582" s="36"/>
      <c r="Q582" s="38">
        <f>IF(OR(C582&lt;&gt;"loan",E582=""),"",IF(ISNA(MATCH(E582,Units!$A$2:$A$501,0)),"",IF(INDEX(Units!$E$2:$E$501,MATCH(E582,Units!$A$2:$A$501,0))="","",IF(K582="","No due date",IF(INT(K582)&gt;INDEX(Units!$E$2:$E$501,MATCH(E582,Units!$A$2:$A$501,0)),"Past cal date","OK")))))</f>
      </c>
      <c r="R582" s="37">
        <f>IF(A582="Overdue",K582+ROW()/10000000,"")</f>
      </c>
    </row>
    <row r="583">
      <c r="A583" s="38">
        <f>IF(C583="","",IF(B583="","Needs ID",IF(OR(C583="loan",C583="send_out"),IF(COUNTIF($L$2:$L$1001,B583)&gt;0,"Closed",IF(K583="","Open",IF(K583&lt;NOW(),"Overdue","Open"))),IF(C583="return",IF(OR(L583="",COUNTIF($B$2:$B$1001,L583)=0),"No match",IF(OR(M583="worn",M583="damaged"),"Quarantine","Returned")),IF(C583="issue","Issued",IF(C583="transfer","Moved",IF(C583="write_off","Written off",IF(C583="unfilled","Unfilled",""))))))))</f>
      </c>
      <c r="B583" s="31"/>
      <c r="C583" s="35"/>
      <c r="D583" s="33"/>
      <c r="E583" s="31"/>
      <c r="F583" s="31"/>
      <c r="G583" s="37">
        <f>IF(F583="","",IF(ISNA(MATCH(F583,'Item master'!$A$2:$A$301,0)),"Not in Item master",IFERROR(INDEX('Item master'!$B$2:$B$301,MATCH(F583,'Item master'!$A$2:$A$301,0))&amp;"","")))</f>
      </c>
      <c r="H583" s="34"/>
      <c r="I583" s="31"/>
      <c r="J583" s="31"/>
      <c r="K583" s="33"/>
      <c r="L583" s="31"/>
      <c r="M583" s="35"/>
      <c r="N583" s="30"/>
      <c r="O583" s="30"/>
      <c r="P583" s="36"/>
      <c r="Q583" s="38">
        <f>IF(OR(C583&lt;&gt;"loan",E583=""),"",IF(ISNA(MATCH(E583,Units!$A$2:$A$501,0)),"",IF(INDEX(Units!$E$2:$E$501,MATCH(E583,Units!$A$2:$A$501,0))="","",IF(K583="","No due date",IF(INT(K583)&gt;INDEX(Units!$E$2:$E$501,MATCH(E583,Units!$A$2:$A$501,0)),"Past cal date","OK")))))</f>
      </c>
      <c r="R583" s="37">
        <f>IF(A583="Overdue",K583+ROW()/10000000,"")</f>
      </c>
    </row>
    <row r="584">
      <c r="A584" s="38">
        <f>IF(C584="","",IF(B584="","Needs ID",IF(OR(C584="loan",C584="send_out"),IF(COUNTIF($L$2:$L$1001,B584)&gt;0,"Closed",IF(K584="","Open",IF(K584&lt;NOW(),"Overdue","Open"))),IF(C584="return",IF(OR(L584="",COUNTIF($B$2:$B$1001,L584)=0),"No match",IF(OR(M584="worn",M584="damaged"),"Quarantine","Returned")),IF(C584="issue","Issued",IF(C584="transfer","Moved",IF(C584="write_off","Written off",IF(C584="unfilled","Unfilled",""))))))))</f>
      </c>
      <c r="B584" s="31"/>
      <c r="C584" s="35"/>
      <c r="D584" s="33"/>
      <c r="E584" s="31"/>
      <c r="F584" s="31"/>
      <c r="G584" s="37">
        <f>IF(F584="","",IF(ISNA(MATCH(F584,'Item master'!$A$2:$A$301,0)),"Not in Item master",IFERROR(INDEX('Item master'!$B$2:$B$301,MATCH(F584,'Item master'!$A$2:$A$301,0))&amp;"","")))</f>
      </c>
      <c r="H584" s="34"/>
      <c r="I584" s="31"/>
      <c r="J584" s="31"/>
      <c r="K584" s="33"/>
      <c r="L584" s="31"/>
      <c r="M584" s="35"/>
      <c r="N584" s="30"/>
      <c r="O584" s="30"/>
      <c r="P584" s="36"/>
      <c r="Q584" s="38">
        <f>IF(OR(C584&lt;&gt;"loan",E584=""),"",IF(ISNA(MATCH(E584,Units!$A$2:$A$501,0)),"",IF(INDEX(Units!$E$2:$E$501,MATCH(E584,Units!$A$2:$A$501,0))="","",IF(K584="","No due date",IF(INT(K584)&gt;INDEX(Units!$E$2:$E$501,MATCH(E584,Units!$A$2:$A$501,0)),"Past cal date","OK")))))</f>
      </c>
      <c r="R584" s="37">
        <f>IF(A584="Overdue",K584+ROW()/10000000,"")</f>
      </c>
    </row>
    <row r="585">
      <c r="A585" s="38">
        <f>IF(C585="","",IF(B585="","Needs ID",IF(OR(C585="loan",C585="send_out"),IF(COUNTIF($L$2:$L$1001,B585)&gt;0,"Closed",IF(K585="","Open",IF(K585&lt;NOW(),"Overdue","Open"))),IF(C585="return",IF(OR(L585="",COUNTIF($B$2:$B$1001,L585)=0),"No match",IF(OR(M585="worn",M585="damaged"),"Quarantine","Returned")),IF(C585="issue","Issued",IF(C585="transfer","Moved",IF(C585="write_off","Written off",IF(C585="unfilled","Unfilled",""))))))))</f>
      </c>
      <c r="B585" s="31"/>
      <c r="C585" s="35"/>
      <c r="D585" s="33"/>
      <c r="E585" s="31"/>
      <c r="F585" s="31"/>
      <c r="G585" s="37">
        <f>IF(F585="","",IF(ISNA(MATCH(F585,'Item master'!$A$2:$A$301,0)),"Not in Item master",IFERROR(INDEX('Item master'!$B$2:$B$301,MATCH(F585,'Item master'!$A$2:$A$301,0))&amp;"","")))</f>
      </c>
      <c r="H585" s="34"/>
      <c r="I585" s="31"/>
      <c r="J585" s="31"/>
      <c r="K585" s="33"/>
      <c r="L585" s="31"/>
      <c r="M585" s="35"/>
      <c r="N585" s="30"/>
      <c r="O585" s="30"/>
      <c r="P585" s="36"/>
      <c r="Q585" s="38">
        <f>IF(OR(C585&lt;&gt;"loan",E585=""),"",IF(ISNA(MATCH(E585,Units!$A$2:$A$501,0)),"",IF(INDEX(Units!$E$2:$E$501,MATCH(E585,Units!$A$2:$A$501,0))="","",IF(K585="","No due date",IF(INT(K585)&gt;INDEX(Units!$E$2:$E$501,MATCH(E585,Units!$A$2:$A$501,0)),"Past cal date","OK")))))</f>
      </c>
      <c r="R585" s="37">
        <f>IF(A585="Overdue",K585+ROW()/10000000,"")</f>
      </c>
    </row>
    <row r="586">
      <c r="A586" s="38">
        <f>IF(C586="","",IF(B586="","Needs ID",IF(OR(C586="loan",C586="send_out"),IF(COUNTIF($L$2:$L$1001,B586)&gt;0,"Closed",IF(K586="","Open",IF(K586&lt;NOW(),"Overdue","Open"))),IF(C586="return",IF(OR(L586="",COUNTIF($B$2:$B$1001,L586)=0),"No match",IF(OR(M586="worn",M586="damaged"),"Quarantine","Returned")),IF(C586="issue","Issued",IF(C586="transfer","Moved",IF(C586="write_off","Written off",IF(C586="unfilled","Unfilled",""))))))))</f>
      </c>
      <c r="B586" s="31"/>
      <c r="C586" s="35"/>
      <c r="D586" s="33"/>
      <c r="E586" s="31"/>
      <c r="F586" s="31"/>
      <c r="G586" s="37">
        <f>IF(F586="","",IF(ISNA(MATCH(F586,'Item master'!$A$2:$A$301,0)),"Not in Item master",IFERROR(INDEX('Item master'!$B$2:$B$301,MATCH(F586,'Item master'!$A$2:$A$301,0))&amp;"","")))</f>
      </c>
      <c r="H586" s="34"/>
      <c r="I586" s="31"/>
      <c r="J586" s="31"/>
      <c r="K586" s="33"/>
      <c r="L586" s="31"/>
      <c r="M586" s="35"/>
      <c r="N586" s="30"/>
      <c r="O586" s="30"/>
      <c r="P586" s="36"/>
      <c r="Q586" s="38">
        <f>IF(OR(C586&lt;&gt;"loan",E586=""),"",IF(ISNA(MATCH(E586,Units!$A$2:$A$501,0)),"",IF(INDEX(Units!$E$2:$E$501,MATCH(E586,Units!$A$2:$A$501,0))="","",IF(K586="","No due date",IF(INT(K586)&gt;INDEX(Units!$E$2:$E$501,MATCH(E586,Units!$A$2:$A$501,0)),"Past cal date","OK")))))</f>
      </c>
      <c r="R586" s="37">
        <f>IF(A586="Overdue",K586+ROW()/10000000,"")</f>
      </c>
    </row>
    <row r="587">
      <c r="A587" s="38">
        <f>IF(C587="","",IF(B587="","Needs ID",IF(OR(C587="loan",C587="send_out"),IF(COUNTIF($L$2:$L$1001,B587)&gt;0,"Closed",IF(K587="","Open",IF(K587&lt;NOW(),"Overdue","Open"))),IF(C587="return",IF(OR(L587="",COUNTIF($B$2:$B$1001,L587)=0),"No match",IF(OR(M587="worn",M587="damaged"),"Quarantine","Returned")),IF(C587="issue","Issued",IF(C587="transfer","Moved",IF(C587="write_off","Written off",IF(C587="unfilled","Unfilled",""))))))))</f>
      </c>
      <c r="B587" s="31"/>
      <c r="C587" s="35"/>
      <c r="D587" s="33"/>
      <c r="E587" s="31"/>
      <c r="F587" s="31"/>
      <c r="G587" s="37">
        <f>IF(F587="","",IF(ISNA(MATCH(F587,'Item master'!$A$2:$A$301,0)),"Not in Item master",IFERROR(INDEX('Item master'!$B$2:$B$301,MATCH(F587,'Item master'!$A$2:$A$301,0))&amp;"","")))</f>
      </c>
      <c r="H587" s="34"/>
      <c r="I587" s="31"/>
      <c r="J587" s="31"/>
      <c r="K587" s="33"/>
      <c r="L587" s="31"/>
      <c r="M587" s="35"/>
      <c r="N587" s="30"/>
      <c r="O587" s="30"/>
      <c r="P587" s="36"/>
      <c r="Q587" s="38">
        <f>IF(OR(C587&lt;&gt;"loan",E587=""),"",IF(ISNA(MATCH(E587,Units!$A$2:$A$501,0)),"",IF(INDEX(Units!$E$2:$E$501,MATCH(E587,Units!$A$2:$A$501,0))="","",IF(K587="","No due date",IF(INT(K587)&gt;INDEX(Units!$E$2:$E$501,MATCH(E587,Units!$A$2:$A$501,0)),"Past cal date","OK")))))</f>
      </c>
      <c r="R587" s="37">
        <f>IF(A587="Overdue",K587+ROW()/10000000,"")</f>
      </c>
    </row>
    <row r="588">
      <c r="A588" s="38">
        <f>IF(C588="","",IF(B588="","Needs ID",IF(OR(C588="loan",C588="send_out"),IF(COUNTIF($L$2:$L$1001,B588)&gt;0,"Closed",IF(K588="","Open",IF(K588&lt;NOW(),"Overdue","Open"))),IF(C588="return",IF(OR(L588="",COUNTIF($B$2:$B$1001,L588)=0),"No match",IF(OR(M588="worn",M588="damaged"),"Quarantine","Returned")),IF(C588="issue","Issued",IF(C588="transfer","Moved",IF(C588="write_off","Written off",IF(C588="unfilled","Unfilled",""))))))))</f>
      </c>
      <c r="B588" s="31"/>
      <c r="C588" s="35"/>
      <c r="D588" s="33"/>
      <c r="E588" s="31"/>
      <c r="F588" s="31"/>
      <c r="G588" s="37">
        <f>IF(F588="","",IF(ISNA(MATCH(F588,'Item master'!$A$2:$A$301,0)),"Not in Item master",IFERROR(INDEX('Item master'!$B$2:$B$301,MATCH(F588,'Item master'!$A$2:$A$301,0))&amp;"","")))</f>
      </c>
      <c r="H588" s="34"/>
      <c r="I588" s="31"/>
      <c r="J588" s="31"/>
      <c r="K588" s="33"/>
      <c r="L588" s="31"/>
      <c r="M588" s="35"/>
      <c r="N588" s="30"/>
      <c r="O588" s="30"/>
      <c r="P588" s="36"/>
      <c r="Q588" s="38">
        <f>IF(OR(C588&lt;&gt;"loan",E588=""),"",IF(ISNA(MATCH(E588,Units!$A$2:$A$501,0)),"",IF(INDEX(Units!$E$2:$E$501,MATCH(E588,Units!$A$2:$A$501,0))="","",IF(K588="","No due date",IF(INT(K588)&gt;INDEX(Units!$E$2:$E$501,MATCH(E588,Units!$A$2:$A$501,0)),"Past cal date","OK")))))</f>
      </c>
      <c r="R588" s="37">
        <f>IF(A588="Overdue",K588+ROW()/10000000,"")</f>
      </c>
    </row>
    <row r="589">
      <c r="A589" s="38">
        <f>IF(C589="","",IF(B589="","Needs ID",IF(OR(C589="loan",C589="send_out"),IF(COUNTIF($L$2:$L$1001,B589)&gt;0,"Closed",IF(K589="","Open",IF(K589&lt;NOW(),"Overdue","Open"))),IF(C589="return",IF(OR(L589="",COUNTIF($B$2:$B$1001,L589)=0),"No match",IF(OR(M589="worn",M589="damaged"),"Quarantine","Returned")),IF(C589="issue","Issued",IF(C589="transfer","Moved",IF(C589="write_off","Written off",IF(C589="unfilled","Unfilled",""))))))))</f>
      </c>
      <c r="B589" s="31"/>
      <c r="C589" s="35"/>
      <c r="D589" s="33"/>
      <c r="E589" s="31"/>
      <c r="F589" s="31"/>
      <c r="G589" s="37">
        <f>IF(F589="","",IF(ISNA(MATCH(F589,'Item master'!$A$2:$A$301,0)),"Not in Item master",IFERROR(INDEX('Item master'!$B$2:$B$301,MATCH(F589,'Item master'!$A$2:$A$301,0))&amp;"","")))</f>
      </c>
      <c r="H589" s="34"/>
      <c r="I589" s="31"/>
      <c r="J589" s="31"/>
      <c r="K589" s="33"/>
      <c r="L589" s="31"/>
      <c r="M589" s="35"/>
      <c r="N589" s="30"/>
      <c r="O589" s="30"/>
      <c r="P589" s="36"/>
      <c r="Q589" s="38">
        <f>IF(OR(C589&lt;&gt;"loan",E589=""),"",IF(ISNA(MATCH(E589,Units!$A$2:$A$501,0)),"",IF(INDEX(Units!$E$2:$E$501,MATCH(E589,Units!$A$2:$A$501,0))="","",IF(K589="","No due date",IF(INT(K589)&gt;INDEX(Units!$E$2:$E$501,MATCH(E589,Units!$A$2:$A$501,0)),"Past cal date","OK")))))</f>
      </c>
      <c r="R589" s="37">
        <f>IF(A589="Overdue",K589+ROW()/10000000,"")</f>
      </c>
    </row>
    <row r="590">
      <c r="A590" s="38">
        <f>IF(C590="","",IF(B590="","Needs ID",IF(OR(C590="loan",C590="send_out"),IF(COUNTIF($L$2:$L$1001,B590)&gt;0,"Closed",IF(K590="","Open",IF(K590&lt;NOW(),"Overdue","Open"))),IF(C590="return",IF(OR(L590="",COUNTIF($B$2:$B$1001,L590)=0),"No match",IF(OR(M590="worn",M590="damaged"),"Quarantine","Returned")),IF(C590="issue","Issued",IF(C590="transfer","Moved",IF(C590="write_off","Written off",IF(C590="unfilled","Unfilled",""))))))))</f>
      </c>
      <c r="B590" s="31"/>
      <c r="C590" s="35"/>
      <c r="D590" s="33"/>
      <c r="E590" s="31"/>
      <c r="F590" s="31"/>
      <c r="G590" s="37">
        <f>IF(F590="","",IF(ISNA(MATCH(F590,'Item master'!$A$2:$A$301,0)),"Not in Item master",IFERROR(INDEX('Item master'!$B$2:$B$301,MATCH(F590,'Item master'!$A$2:$A$301,0))&amp;"","")))</f>
      </c>
      <c r="H590" s="34"/>
      <c r="I590" s="31"/>
      <c r="J590" s="31"/>
      <c r="K590" s="33"/>
      <c r="L590" s="31"/>
      <c r="M590" s="35"/>
      <c r="N590" s="30"/>
      <c r="O590" s="30"/>
      <c r="P590" s="36"/>
      <c r="Q590" s="38">
        <f>IF(OR(C590&lt;&gt;"loan",E590=""),"",IF(ISNA(MATCH(E590,Units!$A$2:$A$501,0)),"",IF(INDEX(Units!$E$2:$E$501,MATCH(E590,Units!$A$2:$A$501,0))="","",IF(K590="","No due date",IF(INT(K590)&gt;INDEX(Units!$E$2:$E$501,MATCH(E590,Units!$A$2:$A$501,0)),"Past cal date","OK")))))</f>
      </c>
      <c r="R590" s="37">
        <f>IF(A590="Overdue",K590+ROW()/10000000,"")</f>
      </c>
    </row>
    <row r="591">
      <c r="A591" s="38">
        <f>IF(C591="","",IF(B591="","Needs ID",IF(OR(C591="loan",C591="send_out"),IF(COUNTIF($L$2:$L$1001,B591)&gt;0,"Closed",IF(K591="","Open",IF(K591&lt;NOW(),"Overdue","Open"))),IF(C591="return",IF(OR(L591="",COUNTIF($B$2:$B$1001,L591)=0),"No match",IF(OR(M591="worn",M591="damaged"),"Quarantine","Returned")),IF(C591="issue","Issued",IF(C591="transfer","Moved",IF(C591="write_off","Written off",IF(C591="unfilled","Unfilled",""))))))))</f>
      </c>
      <c r="B591" s="31"/>
      <c r="C591" s="35"/>
      <c r="D591" s="33"/>
      <c r="E591" s="31"/>
      <c r="F591" s="31"/>
      <c r="G591" s="37">
        <f>IF(F591="","",IF(ISNA(MATCH(F591,'Item master'!$A$2:$A$301,0)),"Not in Item master",IFERROR(INDEX('Item master'!$B$2:$B$301,MATCH(F591,'Item master'!$A$2:$A$301,0))&amp;"","")))</f>
      </c>
      <c r="H591" s="34"/>
      <c r="I591" s="31"/>
      <c r="J591" s="31"/>
      <c r="K591" s="33"/>
      <c r="L591" s="31"/>
      <c r="M591" s="35"/>
      <c r="N591" s="30"/>
      <c r="O591" s="30"/>
      <c r="P591" s="36"/>
      <c r="Q591" s="38">
        <f>IF(OR(C591&lt;&gt;"loan",E591=""),"",IF(ISNA(MATCH(E591,Units!$A$2:$A$501,0)),"",IF(INDEX(Units!$E$2:$E$501,MATCH(E591,Units!$A$2:$A$501,0))="","",IF(K591="","No due date",IF(INT(K591)&gt;INDEX(Units!$E$2:$E$501,MATCH(E591,Units!$A$2:$A$501,0)),"Past cal date","OK")))))</f>
      </c>
      <c r="R591" s="37">
        <f>IF(A591="Overdue",K591+ROW()/10000000,"")</f>
      </c>
    </row>
    <row r="592">
      <c r="A592" s="38">
        <f>IF(C592="","",IF(B592="","Needs ID",IF(OR(C592="loan",C592="send_out"),IF(COUNTIF($L$2:$L$1001,B592)&gt;0,"Closed",IF(K592="","Open",IF(K592&lt;NOW(),"Overdue","Open"))),IF(C592="return",IF(OR(L592="",COUNTIF($B$2:$B$1001,L592)=0),"No match",IF(OR(M592="worn",M592="damaged"),"Quarantine","Returned")),IF(C592="issue","Issued",IF(C592="transfer","Moved",IF(C592="write_off","Written off",IF(C592="unfilled","Unfilled",""))))))))</f>
      </c>
      <c r="B592" s="31"/>
      <c r="C592" s="35"/>
      <c r="D592" s="33"/>
      <c r="E592" s="31"/>
      <c r="F592" s="31"/>
      <c r="G592" s="37">
        <f>IF(F592="","",IF(ISNA(MATCH(F592,'Item master'!$A$2:$A$301,0)),"Not in Item master",IFERROR(INDEX('Item master'!$B$2:$B$301,MATCH(F592,'Item master'!$A$2:$A$301,0))&amp;"","")))</f>
      </c>
      <c r="H592" s="34"/>
      <c r="I592" s="31"/>
      <c r="J592" s="31"/>
      <c r="K592" s="33"/>
      <c r="L592" s="31"/>
      <c r="M592" s="35"/>
      <c r="N592" s="30"/>
      <c r="O592" s="30"/>
      <c r="P592" s="36"/>
      <c r="Q592" s="38">
        <f>IF(OR(C592&lt;&gt;"loan",E592=""),"",IF(ISNA(MATCH(E592,Units!$A$2:$A$501,0)),"",IF(INDEX(Units!$E$2:$E$501,MATCH(E592,Units!$A$2:$A$501,0))="","",IF(K592="","No due date",IF(INT(K592)&gt;INDEX(Units!$E$2:$E$501,MATCH(E592,Units!$A$2:$A$501,0)),"Past cal date","OK")))))</f>
      </c>
      <c r="R592" s="37">
        <f>IF(A592="Overdue",K592+ROW()/10000000,"")</f>
      </c>
    </row>
    <row r="593">
      <c r="A593" s="38">
        <f>IF(C593="","",IF(B593="","Needs ID",IF(OR(C593="loan",C593="send_out"),IF(COUNTIF($L$2:$L$1001,B593)&gt;0,"Closed",IF(K593="","Open",IF(K593&lt;NOW(),"Overdue","Open"))),IF(C593="return",IF(OR(L593="",COUNTIF($B$2:$B$1001,L593)=0),"No match",IF(OR(M593="worn",M593="damaged"),"Quarantine","Returned")),IF(C593="issue","Issued",IF(C593="transfer","Moved",IF(C593="write_off","Written off",IF(C593="unfilled","Unfilled",""))))))))</f>
      </c>
      <c r="B593" s="31"/>
      <c r="C593" s="35"/>
      <c r="D593" s="33"/>
      <c r="E593" s="31"/>
      <c r="F593" s="31"/>
      <c r="G593" s="37">
        <f>IF(F593="","",IF(ISNA(MATCH(F593,'Item master'!$A$2:$A$301,0)),"Not in Item master",IFERROR(INDEX('Item master'!$B$2:$B$301,MATCH(F593,'Item master'!$A$2:$A$301,0))&amp;"","")))</f>
      </c>
      <c r="H593" s="34"/>
      <c r="I593" s="31"/>
      <c r="J593" s="31"/>
      <c r="K593" s="33"/>
      <c r="L593" s="31"/>
      <c r="M593" s="35"/>
      <c r="N593" s="30"/>
      <c r="O593" s="30"/>
      <c r="P593" s="36"/>
      <c r="Q593" s="38">
        <f>IF(OR(C593&lt;&gt;"loan",E593=""),"",IF(ISNA(MATCH(E593,Units!$A$2:$A$501,0)),"",IF(INDEX(Units!$E$2:$E$501,MATCH(E593,Units!$A$2:$A$501,0))="","",IF(K593="","No due date",IF(INT(K593)&gt;INDEX(Units!$E$2:$E$501,MATCH(E593,Units!$A$2:$A$501,0)),"Past cal date","OK")))))</f>
      </c>
      <c r="R593" s="37">
        <f>IF(A593="Overdue",K593+ROW()/10000000,"")</f>
      </c>
    </row>
    <row r="594">
      <c r="A594" s="38">
        <f>IF(C594="","",IF(B594="","Needs ID",IF(OR(C594="loan",C594="send_out"),IF(COUNTIF($L$2:$L$1001,B594)&gt;0,"Closed",IF(K594="","Open",IF(K594&lt;NOW(),"Overdue","Open"))),IF(C594="return",IF(OR(L594="",COUNTIF($B$2:$B$1001,L594)=0),"No match",IF(OR(M594="worn",M594="damaged"),"Quarantine","Returned")),IF(C594="issue","Issued",IF(C594="transfer","Moved",IF(C594="write_off","Written off",IF(C594="unfilled","Unfilled",""))))))))</f>
      </c>
      <c r="B594" s="31"/>
      <c r="C594" s="35"/>
      <c r="D594" s="33"/>
      <c r="E594" s="31"/>
      <c r="F594" s="31"/>
      <c r="G594" s="37">
        <f>IF(F594="","",IF(ISNA(MATCH(F594,'Item master'!$A$2:$A$301,0)),"Not in Item master",IFERROR(INDEX('Item master'!$B$2:$B$301,MATCH(F594,'Item master'!$A$2:$A$301,0))&amp;"","")))</f>
      </c>
      <c r="H594" s="34"/>
      <c r="I594" s="31"/>
      <c r="J594" s="31"/>
      <c r="K594" s="33"/>
      <c r="L594" s="31"/>
      <c r="M594" s="35"/>
      <c r="N594" s="30"/>
      <c r="O594" s="30"/>
      <c r="P594" s="36"/>
      <c r="Q594" s="38">
        <f>IF(OR(C594&lt;&gt;"loan",E594=""),"",IF(ISNA(MATCH(E594,Units!$A$2:$A$501,0)),"",IF(INDEX(Units!$E$2:$E$501,MATCH(E594,Units!$A$2:$A$501,0))="","",IF(K594="","No due date",IF(INT(K594)&gt;INDEX(Units!$E$2:$E$501,MATCH(E594,Units!$A$2:$A$501,0)),"Past cal date","OK")))))</f>
      </c>
      <c r="R594" s="37">
        <f>IF(A594="Overdue",K594+ROW()/10000000,"")</f>
      </c>
    </row>
    <row r="595">
      <c r="A595" s="38">
        <f>IF(C595="","",IF(B595="","Needs ID",IF(OR(C595="loan",C595="send_out"),IF(COUNTIF($L$2:$L$1001,B595)&gt;0,"Closed",IF(K595="","Open",IF(K595&lt;NOW(),"Overdue","Open"))),IF(C595="return",IF(OR(L595="",COUNTIF($B$2:$B$1001,L595)=0),"No match",IF(OR(M595="worn",M595="damaged"),"Quarantine","Returned")),IF(C595="issue","Issued",IF(C595="transfer","Moved",IF(C595="write_off","Written off",IF(C595="unfilled","Unfilled",""))))))))</f>
      </c>
      <c r="B595" s="31"/>
      <c r="C595" s="35"/>
      <c r="D595" s="33"/>
      <c r="E595" s="31"/>
      <c r="F595" s="31"/>
      <c r="G595" s="37">
        <f>IF(F595="","",IF(ISNA(MATCH(F595,'Item master'!$A$2:$A$301,0)),"Not in Item master",IFERROR(INDEX('Item master'!$B$2:$B$301,MATCH(F595,'Item master'!$A$2:$A$301,0))&amp;"","")))</f>
      </c>
      <c r="H595" s="34"/>
      <c r="I595" s="31"/>
      <c r="J595" s="31"/>
      <c r="K595" s="33"/>
      <c r="L595" s="31"/>
      <c r="M595" s="35"/>
      <c r="N595" s="30"/>
      <c r="O595" s="30"/>
      <c r="P595" s="36"/>
      <c r="Q595" s="38">
        <f>IF(OR(C595&lt;&gt;"loan",E595=""),"",IF(ISNA(MATCH(E595,Units!$A$2:$A$501,0)),"",IF(INDEX(Units!$E$2:$E$501,MATCH(E595,Units!$A$2:$A$501,0))="","",IF(K595="","No due date",IF(INT(K595)&gt;INDEX(Units!$E$2:$E$501,MATCH(E595,Units!$A$2:$A$501,0)),"Past cal date","OK")))))</f>
      </c>
      <c r="R595" s="37">
        <f>IF(A595="Overdue",K595+ROW()/10000000,"")</f>
      </c>
    </row>
    <row r="596">
      <c r="A596" s="38">
        <f>IF(C596="","",IF(B596="","Needs ID",IF(OR(C596="loan",C596="send_out"),IF(COUNTIF($L$2:$L$1001,B596)&gt;0,"Closed",IF(K596="","Open",IF(K596&lt;NOW(),"Overdue","Open"))),IF(C596="return",IF(OR(L596="",COUNTIF($B$2:$B$1001,L596)=0),"No match",IF(OR(M596="worn",M596="damaged"),"Quarantine","Returned")),IF(C596="issue","Issued",IF(C596="transfer","Moved",IF(C596="write_off","Written off",IF(C596="unfilled","Unfilled",""))))))))</f>
      </c>
      <c r="B596" s="31"/>
      <c r="C596" s="35"/>
      <c r="D596" s="33"/>
      <c r="E596" s="31"/>
      <c r="F596" s="31"/>
      <c r="G596" s="37">
        <f>IF(F596="","",IF(ISNA(MATCH(F596,'Item master'!$A$2:$A$301,0)),"Not in Item master",IFERROR(INDEX('Item master'!$B$2:$B$301,MATCH(F596,'Item master'!$A$2:$A$301,0))&amp;"","")))</f>
      </c>
      <c r="H596" s="34"/>
      <c r="I596" s="31"/>
      <c r="J596" s="31"/>
      <c r="K596" s="33"/>
      <c r="L596" s="31"/>
      <c r="M596" s="35"/>
      <c r="N596" s="30"/>
      <c r="O596" s="30"/>
      <c r="P596" s="36"/>
      <c r="Q596" s="38">
        <f>IF(OR(C596&lt;&gt;"loan",E596=""),"",IF(ISNA(MATCH(E596,Units!$A$2:$A$501,0)),"",IF(INDEX(Units!$E$2:$E$501,MATCH(E596,Units!$A$2:$A$501,0))="","",IF(K596="","No due date",IF(INT(K596)&gt;INDEX(Units!$E$2:$E$501,MATCH(E596,Units!$A$2:$A$501,0)),"Past cal date","OK")))))</f>
      </c>
      <c r="R596" s="37">
        <f>IF(A596="Overdue",K596+ROW()/10000000,"")</f>
      </c>
    </row>
    <row r="597">
      <c r="A597" s="38">
        <f>IF(C597="","",IF(B597="","Needs ID",IF(OR(C597="loan",C597="send_out"),IF(COUNTIF($L$2:$L$1001,B597)&gt;0,"Closed",IF(K597="","Open",IF(K597&lt;NOW(),"Overdue","Open"))),IF(C597="return",IF(OR(L597="",COUNTIF($B$2:$B$1001,L597)=0),"No match",IF(OR(M597="worn",M597="damaged"),"Quarantine","Returned")),IF(C597="issue","Issued",IF(C597="transfer","Moved",IF(C597="write_off","Written off",IF(C597="unfilled","Unfilled",""))))))))</f>
      </c>
      <c r="B597" s="31"/>
      <c r="C597" s="35"/>
      <c r="D597" s="33"/>
      <c r="E597" s="31"/>
      <c r="F597" s="31"/>
      <c r="G597" s="37">
        <f>IF(F597="","",IF(ISNA(MATCH(F597,'Item master'!$A$2:$A$301,0)),"Not in Item master",IFERROR(INDEX('Item master'!$B$2:$B$301,MATCH(F597,'Item master'!$A$2:$A$301,0))&amp;"","")))</f>
      </c>
      <c r="H597" s="34"/>
      <c r="I597" s="31"/>
      <c r="J597" s="31"/>
      <c r="K597" s="33"/>
      <c r="L597" s="31"/>
      <c r="M597" s="35"/>
      <c r="N597" s="30"/>
      <c r="O597" s="30"/>
      <c r="P597" s="36"/>
      <c r="Q597" s="38">
        <f>IF(OR(C597&lt;&gt;"loan",E597=""),"",IF(ISNA(MATCH(E597,Units!$A$2:$A$501,0)),"",IF(INDEX(Units!$E$2:$E$501,MATCH(E597,Units!$A$2:$A$501,0))="","",IF(K597="","No due date",IF(INT(K597)&gt;INDEX(Units!$E$2:$E$501,MATCH(E597,Units!$A$2:$A$501,0)),"Past cal date","OK")))))</f>
      </c>
      <c r="R597" s="37">
        <f>IF(A597="Overdue",K597+ROW()/10000000,"")</f>
      </c>
    </row>
    <row r="598">
      <c r="A598" s="38">
        <f>IF(C598="","",IF(B598="","Needs ID",IF(OR(C598="loan",C598="send_out"),IF(COUNTIF($L$2:$L$1001,B598)&gt;0,"Closed",IF(K598="","Open",IF(K598&lt;NOW(),"Overdue","Open"))),IF(C598="return",IF(OR(L598="",COUNTIF($B$2:$B$1001,L598)=0),"No match",IF(OR(M598="worn",M598="damaged"),"Quarantine","Returned")),IF(C598="issue","Issued",IF(C598="transfer","Moved",IF(C598="write_off","Written off",IF(C598="unfilled","Unfilled",""))))))))</f>
      </c>
      <c r="B598" s="31"/>
      <c r="C598" s="35"/>
      <c r="D598" s="33"/>
      <c r="E598" s="31"/>
      <c r="F598" s="31"/>
      <c r="G598" s="37">
        <f>IF(F598="","",IF(ISNA(MATCH(F598,'Item master'!$A$2:$A$301,0)),"Not in Item master",IFERROR(INDEX('Item master'!$B$2:$B$301,MATCH(F598,'Item master'!$A$2:$A$301,0))&amp;"","")))</f>
      </c>
      <c r="H598" s="34"/>
      <c r="I598" s="31"/>
      <c r="J598" s="31"/>
      <c r="K598" s="33"/>
      <c r="L598" s="31"/>
      <c r="M598" s="35"/>
      <c r="N598" s="30"/>
      <c r="O598" s="30"/>
      <c r="P598" s="36"/>
      <c r="Q598" s="38">
        <f>IF(OR(C598&lt;&gt;"loan",E598=""),"",IF(ISNA(MATCH(E598,Units!$A$2:$A$501,0)),"",IF(INDEX(Units!$E$2:$E$501,MATCH(E598,Units!$A$2:$A$501,0))="","",IF(K598="","No due date",IF(INT(K598)&gt;INDEX(Units!$E$2:$E$501,MATCH(E598,Units!$A$2:$A$501,0)),"Past cal date","OK")))))</f>
      </c>
      <c r="R598" s="37">
        <f>IF(A598="Overdue",K598+ROW()/10000000,"")</f>
      </c>
    </row>
    <row r="599">
      <c r="A599" s="38">
        <f>IF(C599="","",IF(B599="","Needs ID",IF(OR(C599="loan",C599="send_out"),IF(COUNTIF($L$2:$L$1001,B599)&gt;0,"Closed",IF(K599="","Open",IF(K599&lt;NOW(),"Overdue","Open"))),IF(C599="return",IF(OR(L599="",COUNTIF($B$2:$B$1001,L599)=0),"No match",IF(OR(M599="worn",M599="damaged"),"Quarantine","Returned")),IF(C599="issue","Issued",IF(C599="transfer","Moved",IF(C599="write_off","Written off",IF(C599="unfilled","Unfilled",""))))))))</f>
      </c>
      <c r="B599" s="31"/>
      <c r="C599" s="35"/>
      <c r="D599" s="33"/>
      <c r="E599" s="31"/>
      <c r="F599" s="31"/>
      <c r="G599" s="37">
        <f>IF(F599="","",IF(ISNA(MATCH(F599,'Item master'!$A$2:$A$301,0)),"Not in Item master",IFERROR(INDEX('Item master'!$B$2:$B$301,MATCH(F599,'Item master'!$A$2:$A$301,0))&amp;"","")))</f>
      </c>
      <c r="H599" s="34"/>
      <c r="I599" s="31"/>
      <c r="J599" s="31"/>
      <c r="K599" s="33"/>
      <c r="L599" s="31"/>
      <c r="M599" s="35"/>
      <c r="N599" s="30"/>
      <c r="O599" s="30"/>
      <c r="P599" s="36"/>
      <c r="Q599" s="38">
        <f>IF(OR(C599&lt;&gt;"loan",E599=""),"",IF(ISNA(MATCH(E599,Units!$A$2:$A$501,0)),"",IF(INDEX(Units!$E$2:$E$501,MATCH(E599,Units!$A$2:$A$501,0))="","",IF(K599="","No due date",IF(INT(K599)&gt;INDEX(Units!$E$2:$E$501,MATCH(E599,Units!$A$2:$A$501,0)),"Past cal date","OK")))))</f>
      </c>
      <c r="R599" s="37">
        <f>IF(A599="Overdue",K599+ROW()/10000000,"")</f>
      </c>
    </row>
    <row r="600">
      <c r="A600" s="38">
        <f>IF(C600="","",IF(B600="","Needs ID",IF(OR(C600="loan",C600="send_out"),IF(COUNTIF($L$2:$L$1001,B600)&gt;0,"Closed",IF(K600="","Open",IF(K600&lt;NOW(),"Overdue","Open"))),IF(C600="return",IF(OR(L600="",COUNTIF($B$2:$B$1001,L600)=0),"No match",IF(OR(M600="worn",M600="damaged"),"Quarantine","Returned")),IF(C600="issue","Issued",IF(C600="transfer","Moved",IF(C600="write_off","Written off",IF(C600="unfilled","Unfilled",""))))))))</f>
      </c>
      <c r="B600" s="31"/>
      <c r="C600" s="35"/>
      <c r="D600" s="33"/>
      <c r="E600" s="31"/>
      <c r="F600" s="31"/>
      <c r="G600" s="37">
        <f>IF(F600="","",IF(ISNA(MATCH(F600,'Item master'!$A$2:$A$301,0)),"Not in Item master",IFERROR(INDEX('Item master'!$B$2:$B$301,MATCH(F600,'Item master'!$A$2:$A$301,0))&amp;"","")))</f>
      </c>
      <c r="H600" s="34"/>
      <c r="I600" s="31"/>
      <c r="J600" s="31"/>
      <c r="K600" s="33"/>
      <c r="L600" s="31"/>
      <c r="M600" s="35"/>
      <c r="N600" s="30"/>
      <c r="O600" s="30"/>
      <c r="P600" s="36"/>
      <c r="Q600" s="38">
        <f>IF(OR(C600&lt;&gt;"loan",E600=""),"",IF(ISNA(MATCH(E600,Units!$A$2:$A$501,0)),"",IF(INDEX(Units!$E$2:$E$501,MATCH(E600,Units!$A$2:$A$501,0))="","",IF(K600="","No due date",IF(INT(K600)&gt;INDEX(Units!$E$2:$E$501,MATCH(E600,Units!$A$2:$A$501,0)),"Past cal date","OK")))))</f>
      </c>
      <c r="R600" s="37">
        <f>IF(A600="Overdue",K600+ROW()/10000000,"")</f>
      </c>
    </row>
    <row r="601">
      <c r="A601" s="38">
        <f>IF(C601="","",IF(B601="","Needs ID",IF(OR(C601="loan",C601="send_out"),IF(COUNTIF($L$2:$L$1001,B601)&gt;0,"Closed",IF(K601="","Open",IF(K601&lt;NOW(),"Overdue","Open"))),IF(C601="return",IF(OR(L601="",COUNTIF($B$2:$B$1001,L601)=0),"No match",IF(OR(M601="worn",M601="damaged"),"Quarantine","Returned")),IF(C601="issue","Issued",IF(C601="transfer","Moved",IF(C601="write_off","Written off",IF(C601="unfilled","Unfilled",""))))))))</f>
      </c>
      <c r="B601" s="31"/>
      <c r="C601" s="35"/>
      <c r="D601" s="33"/>
      <c r="E601" s="31"/>
      <c r="F601" s="31"/>
      <c r="G601" s="37">
        <f>IF(F601="","",IF(ISNA(MATCH(F601,'Item master'!$A$2:$A$301,0)),"Not in Item master",IFERROR(INDEX('Item master'!$B$2:$B$301,MATCH(F601,'Item master'!$A$2:$A$301,0))&amp;"","")))</f>
      </c>
      <c r="H601" s="34"/>
      <c r="I601" s="31"/>
      <c r="J601" s="31"/>
      <c r="K601" s="33"/>
      <c r="L601" s="31"/>
      <c r="M601" s="35"/>
      <c r="N601" s="30"/>
      <c r="O601" s="30"/>
      <c r="P601" s="36"/>
      <c r="Q601" s="38">
        <f>IF(OR(C601&lt;&gt;"loan",E601=""),"",IF(ISNA(MATCH(E601,Units!$A$2:$A$501,0)),"",IF(INDEX(Units!$E$2:$E$501,MATCH(E601,Units!$A$2:$A$501,0))="","",IF(K601="","No due date",IF(INT(K601)&gt;INDEX(Units!$E$2:$E$501,MATCH(E601,Units!$A$2:$A$501,0)),"Past cal date","OK")))))</f>
      </c>
      <c r="R601" s="37">
        <f>IF(A601="Overdue",K601+ROW()/10000000,"")</f>
      </c>
    </row>
    <row r="602">
      <c r="A602" s="38">
        <f>IF(C602="","",IF(B602="","Needs ID",IF(OR(C602="loan",C602="send_out"),IF(COUNTIF($L$2:$L$1001,B602)&gt;0,"Closed",IF(K602="","Open",IF(K602&lt;NOW(),"Overdue","Open"))),IF(C602="return",IF(OR(L602="",COUNTIF($B$2:$B$1001,L602)=0),"No match",IF(OR(M602="worn",M602="damaged"),"Quarantine","Returned")),IF(C602="issue","Issued",IF(C602="transfer","Moved",IF(C602="write_off","Written off",IF(C602="unfilled","Unfilled",""))))))))</f>
      </c>
      <c r="B602" s="31"/>
      <c r="C602" s="35"/>
      <c r="D602" s="33"/>
      <c r="E602" s="31"/>
      <c r="F602" s="31"/>
      <c r="G602" s="37">
        <f>IF(F602="","",IF(ISNA(MATCH(F602,'Item master'!$A$2:$A$301,0)),"Not in Item master",IFERROR(INDEX('Item master'!$B$2:$B$301,MATCH(F602,'Item master'!$A$2:$A$301,0))&amp;"","")))</f>
      </c>
      <c r="H602" s="34"/>
      <c r="I602" s="31"/>
      <c r="J602" s="31"/>
      <c r="K602" s="33"/>
      <c r="L602" s="31"/>
      <c r="M602" s="35"/>
      <c r="N602" s="30"/>
      <c r="O602" s="30"/>
      <c r="P602" s="36"/>
      <c r="Q602" s="38">
        <f>IF(OR(C602&lt;&gt;"loan",E602=""),"",IF(ISNA(MATCH(E602,Units!$A$2:$A$501,0)),"",IF(INDEX(Units!$E$2:$E$501,MATCH(E602,Units!$A$2:$A$501,0))="","",IF(K602="","No due date",IF(INT(K602)&gt;INDEX(Units!$E$2:$E$501,MATCH(E602,Units!$A$2:$A$501,0)),"Past cal date","OK")))))</f>
      </c>
      <c r="R602" s="37">
        <f>IF(A602="Overdue",K602+ROW()/10000000,"")</f>
      </c>
    </row>
    <row r="603">
      <c r="A603" s="38">
        <f>IF(C603="","",IF(B603="","Needs ID",IF(OR(C603="loan",C603="send_out"),IF(COUNTIF($L$2:$L$1001,B603)&gt;0,"Closed",IF(K603="","Open",IF(K603&lt;NOW(),"Overdue","Open"))),IF(C603="return",IF(OR(L603="",COUNTIF($B$2:$B$1001,L603)=0),"No match",IF(OR(M603="worn",M603="damaged"),"Quarantine","Returned")),IF(C603="issue","Issued",IF(C603="transfer","Moved",IF(C603="write_off","Written off",IF(C603="unfilled","Unfilled",""))))))))</f>
      </c>
      <c r="B603" s="31"/>
      <c r="C603" s="35"/>
      <c r="D603" s="33"/>
      <c r="E603" s="31"/>
      <c r="F603" s="31"/>
      <c r="G603" s="37">
        <f>IF(F603="","",IF(ISNA(MATCH(F603,'Item master'!$A$2:$A$301,0)),"Not in Item master",IFERROR(INDEX('Item master'!$B$2:$B$301,MATCH(F603,'Item master'!$A$2:$A$301,0))&amp;"","")))</f>
      </c>
      <c r="H603" s="34"/>
      <c r="I603" s="31"/>
      <c r="J603" s="31"/>
      <c r="K603" s="33"/>
      <c r="L603" s="31"/>
      <c r="M603" s="35"/>
      <c r="N603" s="30"/>
      <c r="O603" s="30"/>
      <c r="P603" s="36"/>
      <c r="Q603" s="38">
        <f>IF(OR(C603&lt;&gt;"loan",E603=""),"",IF(ISNA(MATCH(E603,Units!$A$2:$A$501,0)),"",IF(INDEX(Units!$E$2:$E$501,MATCH(E603,Units!$A$2:$A$501,0))="","",IF(K603="","No due date",IF(INT(K603)&gt;INDEX(Units!$E$2:$E$501,MATCH(E603,Units!$A$2:$A$501,0)),"Past cal date","OK")))))</f>
      </c>
      <c r="R603" s="37">
        <f>IF(A603="Overdue",K603+ROW()/10000000,"")</f>
      </c>
    </row>
    <row r="604">
      <c r="A604" s="38">
        <f>IF(C604="","",IF(B604="","Needs ID",IF(OR(C604="loan",C604="send_out"),IF(COUNTIF($L$2:$L$1001,B604)&gt;0,"Closed",IF(K604="","Open",IF(K604&lt;NOW(),"Overdue","Open"))),IF(C604="return",IF(OR(L604="",COUNTIF($B$2:$B$1001,L604)=0),"No match",IF(OR(M604="worn",M604="damaged"),"Quarantine","Returned")),IF(C604="issue","Issued",IF(C604="transfer","Moved",IF(C604="write_off","Written off",IF(C604="unfilled","Unfilled",""))))))))</f>
      </c>
      <c r="B604" s="31"/>
      <c r="C604" s="35"/>
      <c r="D604" s="33"/>
      <c r="E604" s="31"/>
      <c r="F604" s="31"/>
      <c r="G604" s="37">
        <f>IF(F604="","",IF(ISNA(MATCH(F604,'Item master'!$A$2:$A$301,0)),"Not in Item master",IFERROR(INDEX('Item master'!$B$2:$B$301,MATCH(F604,'Item master'!$A$2:$A$301,0))&amp;"","")))</f>
      </c>
      <c r="H604" s="34"/>
      <c r="I604" s="31"/>
      <c r="J604" s="31"/>
      <c r="K604" s="33"/>
      <c r="L604" s="31"/>
      <c r="M604" s="35"/>
      <c r="N604" s="30"/>
      <c r="O604" s="30"/>
      <c r="P604" s="36"/>
      <c r="Q604" s="38">
        <f>IF(OR(C604&lt;&gt;"loan",E604=""),"",IF(ISNA(MATCH(E604,Units!$A$2:$A$501,0)),"",IF(INDEX(Units!$E$2:$E$501,MATCH(E604,Units!$A$2:$A$501,0))="","",IF(K604="","No due date",IF(INT(K604)&gt;INDEX(Units!$E$2:$E$501,MATCH(E604,Units!$A$2:$A$501,0)),"Past cal date","OK")))))</f>
      </c>
      <c r="R604" s="37">
        <f>IF(A604="Overdue",K604+ROW()/10000000,"")</f>
      </c>
    </row>
    <row r="605">
      <c r="A605" s="38">
        <f>IF(C605="","",IF(B605="","Needs ID",IF(OR(C605="loan",C605="send_out"),IF(COUNTIF($L$2:$L$1001,B605)&gt;0,"Closed",IF(K605="","Open",IF(K605&lt;NOW(),"Overdue","Open"))),IF(C605="return",IF(OR(L605="",COUNTIF($B$2:$B$1001,L605)=0),"No match",IF(OR(M605="worn",M605="damaged"),"Quarantine","Returned")),IF(C605="issue","Issued",IF(C605="transfer","Moved",IF(C605="write_off","Written off",IF(C605="unfilled","Unfilled",""))))))))</f>
      </c>
      <c r="B605" s="31"/>
      <c r="C605" s="35"/>
      <c r="D605" s="33"/>
      <c r="E605" s="31"/>
      <c r="F605" s="31"/>
      <c r="G605" s="37">
        <f>IF(F605="","",IF(ISNA(MATCH(F605,'Item master'!$A$2:$A$301,0)),"Not in Item master",IFERROR(INDEX('Item master'!$B$2:$B$301,MATCH(F605,'Item master'!$A$2:$A$301,0))&amp;"","")))</f>
      </c>
      <c r="H605" s="34"/>
      <c r="I605" s="31"/>
      <c r="J605" s="31"/>
      <c r="K605" s="33"/>
      <c r="L605" s="31"/>
      <c r="M605" s="35"/>
      <c r="N605" s="30"/>
      <c r="O605" s="30"/>
      <c r="P605" s="36"/>
      <c r="Q605" s="38">
        <f>IF(OR(C605&lt;&gt;"loan",E605=""),"",IF(ISNA(MATCH(E605,Units!$A$2:$A$501,0)),"",IF(INDEX(Units!$E$2:$E$501,MATCH(E605,Units!$A$2:$A$501,0))="","",IF(K605="","No due date",IF(INT(K605)&gt;INDEX(Units!$E$2:$E$501,MATCH(E605,Units!$A$2:$A$501,0)),"Past cal date","OK")))))</f>
      </c>
      <c r="R605" s="37">
        <f>IF(A605="Overdue",K605+ROW()/10000000,"")</f>
      </c>
    </row>
    <row r="606">
      <c r="A606" s="38">
        <f>IF(C606="","",IF(B606="","Needs ID",IF(OR(C606="loan",C606="send_out"),IF(COUNTIF($L$2:$L$1001,B606)&gt;0,"Closed",IF(K606="","Open",IF(K606&lt;NOW(),"Overdue","Open"))),IF(C606="return",IF(OR(L606="",COUNTIF($B$2:$B$1001,L606)=0),"No match",IF(OR(M606="worn",M606="damaged"),"Quarantine","Returned")),IF(C606="issue","Issued",IF(C606="transfer","Moved",IF(C606="write_off","Written off",IF(C606="unfilled","Unfilled",""))))))))</f>
      </c>
      <c r="B606" s="31"/>
      <c r="C606" s="35"/>
      <c r="D606" s="33"/>
      <c r="E606" s="31"/>
      <c r="F606" s="31"/>
      <c r="G606" s="37">
        <f>IF(F606="","",IF(ISNA(MATCH(F606,'Item master'!$A$2:$A$301,0)),"Not in Item master",IFERROR(INDEX('Item master'!$B$2:$B$301,MATCH(F606,'Item master'!$A$2:$A$301,0))&amp;"","")))</f>
      </c>
      <c r="H606" s="34"/>
      <c r="I606" s="31"/>
      <c r="J606" s="31"/>
      <c r="K606" s="33"/>
      <c r="L606" s="31"/>
      <c r="M606" s="35"/>
      <c r="N606" s="30"/>
      <c r="O606" s="30"/>
      <c r="P606" s="36"/>
      <c r="Q606" s="38">
        <f>IF(OR(C606&lt;&gt;"loan",E606=""),"",IF(ISNA(MATCH(E606,Units!$A$2:$A$501,0)),"",IF(INDEX(Units!$E$2:$E$501,MATCH(E606,Units!$A$2:$A$501,0))="","",IF(K606="","No due date",IF(INT(K606)&gt;INDEX(Units!$E$2:$E$501,MATCH(E606,Units!$A$2:$A$501,0)),"Past cal date","OK")))))</f>
      </c>
      <c r="R606" s="37">
        <f>IF(A606="Overdue",K606+ROW()/10000000,"")</f>
      </c>
    </row>
    <row r="607">
      <c r="A607" s="38">
        <f>IF(C607="","",IF(B607="","Needs ID",IF(OR(C607="loan",C607="send_out"),IF(COUNTIF($L$2:$L$1001,B607)&gt;0,"Closed",IF(K607="","Open",IF(K607&lt;NOW(),"Overdue","Open"))),IF(C607="return",IF(OR(L607="",COUNTIF($B$2:$B$1001,L607)=0),"No match",IF(OR(M607="worn",M607="damaged"),"Quarantine","Returned")),IF(C607="issue","Issued",IF(C607="transfer","Moved",IF(C607="write_off","Written off",IF(C607="unfilled","Unfilled",""))))))))</f>
      </c>
      <c r="B607" s="31"/>
      <c r="C607" s="35"/>
      <c r="D607" s="33"/>
      <c r="E607" s="31"/>
      <c r="F607" s="31"/>
      <c r="G607" s="37">
        <f>IF(F607="","",IF(ISNA(MATCH(F607,'Item master'!$A$2:$A$301,0)),"Not in Item master",IFERROR(INDEX('Item master'!$B$2:$B$301,MATCH(F607,'Item master'!$A$2:$A$301,0))&amp;"","")))</f>
      </c>
      <c r="H607" s="34"/>
      <c r="I607" s="31"/>
      <c r="J607" s="31"/>
      <c r="K607" s="33"/>
      <c r="L607" s="31"/>
      <c r="M607" s="35"/>
      <c r="N607" s="30"/>
      <c r="O607" s="30"/>
      <c r="P607" s="36"/>
      <c r="Q607" s="38">
        <f>IF(OR(C607&lt;&gt;"loan",E607=""),"",IF(ISNA(MATCH(E607,Units!$A$2:$A$501,0)),"",IF(INDEX(Units!$E$2:$E$501,MATCH(E607,Units!$A$2:$A$501,0))="","",IF(K607="","No due date",IF(INT(K607)&gt;INDEX(Units!$E$2:$E$501,MATCH(E607,Units!$A$2:$A$501,0)),"Past cal date","OK")))))</f>
      </c>
      <c r="R607" s="37">
        <f>IF(A607="Overdue",K607+ROW()/10000000,"")</f>
      </c>
    </row>
    <row r="608">
      <c r="A608" s="38">
        <f>IF(C608="","",IF(B608="","Needs ID",IF(OR(C608="loan",C608="send_out"),IF(COUNTIF($L$2:$L$1001,B608)&gt;0,"Closed",IF(K608="","Open",IF(K608&lt;NOW(),"Overdue","Open"))),IF(C608="return",IF(OR(L608="",COUNTIF($B$2:$B$1001,L608)=0),"No match",IF(OR(M608="worn",M608="damaged"),"Quarantine","Returned")),IF(C608="issue","Issued",IF(C608="transfer","Moved",IF(C608="write_off","Written off",IF(C608="unfilled","Unfilled",""))))))))</f>
      </c>
      <c r="B608" s="31"/>
      <c r="C608" s="35"/>
      <c r="D608" s="33"/>
      <c r="E608" s="31"/>
      <c r="F608" s="31"/>
      <c r="G608" s="37">
        <f>IF(F608="","",IF(ISNA(MATCH(F608,'Item master'!$A$2:$A$301,0)),"Not in Item master",IFERROR(INDEX('Item master'!$B$2:$B$301,MATCH(F608,'Item master'!$A$2:$A$301,0))&amp;"","")))</f>
      </c>
      <c r="H608" s="34"/>
      <c r="I608" s="31"/>
      <c r="J608" s="31"/>
      <c r="K608" s="33"/>
      <c r="L608" s="31"/>
      <c r="M608" s="35"/>
      <c r="N608" s="30"/>
      <c r="O608" s="30"/>
      <c r="P608" s="36"/>
      <c r="Q608" s="38">
        <f>IF(OR(C608&lt;&gt;"loan",E608=""),"",IF(ISNA(MATCH(E608,Units!$A$2:$A$501,0)),"",IF(INDEX(Units!$E$2:$E$501,MATCH(E608,Units!$A$2:$A$501,0))="","",IF(K608="","No due date",IF(INT(K608)&gt;INDEX(Units!$E$2:$E$501,MATCH(E608,Units!$A$2:$A$501,0)),"Past cal date","OK")))))</f>
      </c>
      <c r="R608" s="37">
        <f>IF(A608="Overdue",K608+ROW()/10000000,"")</f>
      </c>
    </row>
    <row r="609">
      <c r="A609" s="38">
        <f>IF(C609="","",IF(B609="","Needs ID",IF(OR(C609="loan",C609="send_out"),IF(COUNTIF($L$2:$L$1001,B609)&gt;0,"Closed",IF(K609="","Open",IF(K609&lt;NOW(),"Overdue","Open"))),IF(C609="return",IF(OR(L609="",COUNTIF($B$2:$B$1001,L609)=0),"No match",IF(OR(M609="worn",M609="damaged"),"Quarantine","Returned")),IF(C609="issue","Issued",IF(C609="transfer","Moved",IF(C609="write_off","Written off",IF(C609="unfilled","Unfilled",""))))))))</f>
      </c>
      <c r="B609" s="31"/>
      <c r="C609" s="35"/>
      <c r="D609" s="33"/>
      <c r="E609" s="31"/>
      <c r="F609" s="31"/>
      <c r="G609" s="37">
        <f>IF(F609="","",IF(ISNA(MATCH(F609,'Item master'!$A$2:$A$301,0)),"Not in Item master",IFERROR(INDEX('Item master'!$B$2:$B$301,MATCH(F609,'Item master'!$A$2:$A$301,0))&amp;"","")))</f>
      </c>
      <c r="H609" s="34"/>
      <c r="I609" s="31"/>
      <c r="J609" s="31"/>
      <c r="K609" s="33"/>
      <c r="L609" s="31"/>
      <c r="M609" s="35"/>
      <c r="N609" s="30"/>
      <c r="O609" s="30"/>
      <c r="P609" s="36"/>
      <c r="Q609" s="38">
        <f>IF(OR(C609&lt;&gt;"loan",E609=""),"",IF(ISNA(MATCH(E609,Units!$A$2:$A$501,0)),"",IF(INDEX(Units!$E$2:$E$501,MATCH(E609,Units!$A$2:$A$501,0))="","",IF(K609="","No due date",IF(INT(K609)&gt;INDEX(Units!$E$2:$E$501,MATCH(E609,Units!$A$2:$A$501,0)),"Past cal date","OK")))))</f>
      </c>
      <c r="R609" s="37">
        <f>IF(A609="Overdue",K609+ROW()/10000000,"")</f>
      </c>
    </row>
    <row r="610">
      <c r="A610" s="38">
        <f>IF(C610="","",IF(B610="","Needs ID",IF(OR(C610="loan",C610="send_out"),IF(COUNTIF($L$2:$L$1001,B610)&gt;0,"Closed",IF(K610="","Open",IF(K610&lt;NOW(),"Overdue","Open"))),IF(C610="return",IF(OR(L610="",COUNTIF($B$2:$B$1001,L610)=0),"No match",IF(OR(M610="worn",M610="damaged"),"Quarantine","Returned")),IF(C610="issue","Issued",IF(C610="transfer","Moved",IF(C610="write_off","Written off",IF(C610="unfilled","Unfilled",""))))))))</f>
      </c>
      <c r="B610" s="31"/>
      <c r="C610" s="35"/>
      <c r="D610" s="33"/>
      <c r="E610" s="31"/>
      <c r="F610" s="31"/>
      <c r="G610" s="37">
        <f>IF(F610="","",IF(ISNA(MATCH(F610,'Item master'!$A$2:$A$301,0)),"Not in Item master",IFERROR(INDEX('Item master'!$B$2:$B$301,MATCH(F610,'Item master'!$A$2:$A$301,0))&amp;"","")))</f>
      </c>
      <c r="H610" s="34"/>
      <c r="I610" s="31"/>
      <c r="J610" s="31"/>
      <c r="K610" s="33"/>
      <c r="L610" s="31"/>
      <c r="M610" s="35"/>
      <c r="N610" s="30"/>
      <c r="O610" s="30"/>
      <c r="P610" s="36"/>
      <c r="Q610" s="38">
        <f>IF(OR(C610&lt;&gt;"loan",E610=""),"",IF(ISNA(MATCH(E610,Units!$A$2:$A$501,0)),"",IF(INDEX(Units!$E$2:$E$501,MATCH(E610,Units!$A$2:$A$501,0))="","",IF(K610="","No due date",IF(INT(K610)&gt;INDEX(Units!$E$2:$E$501,MATCH(E610,Units!$A$2:$A$501,0)),"Past cal date","OK")))))</f>
      </c>
      <c r="R610" s="37">
        <f>IF(A610="Overdue",K610+ROW()/10000000,"")</f>
      </c>
    </row>
    <row r="611">
      <c r="A611" s="38">
        <f>IF(C611="","",IF(B611="","Needs ID",IF(OR(C611="loan",C611="send_out"),IF(COUNTIF($L$2:$L$1001,B611)&gt;0,"Closed",IF(K611="","Open",IF(K611&lt;NOW(),"Overdue","Open"))),IF(C611="return",IF(OR(L611="",COUNTIF($B$2:$B$1001,L611)=0),"No match",IF(OR(M611="worn",M611="damaged"),"Quarantine","Returned")),IF(C611="issue","Issued",IF(C611="transfer","Moved",IF(C611="write_off","Written off",IF(C611="unfilled","Unfilled",""))))))))</f>
      </c>
      <c r="B611" s="31"/>
      <c r="C611" s="35"/>
      <c r="D611" s="33"/>
      <c r="E611" s="31"/>
      <c r="F611" s="31"/>
      <c r="G611" s="37">
        <f>IF(F611="","",IF(ISNA(MATCH(F611,'Item master'!$A$2:$A$301,0)),"Not in Item master",IFERROR(INDEX('Item master'!$B$2:$B$301,MATCH(F611,'Item master'!$A$2:$A$301,0))&amp;"","")))</f>
      </c>
      <c r="H611" s="34"/>
      <c r="I611" s="31"/>
      <c r="J611" s="31"/>
      <c r="K611" s="33"/>
      <c r="L611" s="31"/>
      <c r="M611" s="35"/>
      <c r="N611" s="30"/>
      <c r="O611" s="30"/>
      <c r="P611" s="36"/>
      <c r="Q611" s="38">
        <f>IF(OR(C611&lt;&gt;"loan",E611=""),"",IF(ISNA(MATCH(E611,Units!$A$2:$A$501,0)),"",IF(INDEX(Units!$E$2:$E$501,MATCH(E611,Units!$A$2:$A$501,0))="","",IF(K611="","No due date",IF(INT(K611)&gt;INDEX(Units!$E$2:$E$501,MATCH(E611,Units!$A$2:$A$501,0)),"Past cal date","OK")))))</f>
      </c>
      <c r="R611" s="37">
        <f>IF(A611="Overdue",K611+ROW()/10000000,"")</f>
      </c>
    </row>
    <row r="612">
      <c r="A612" s="38">
        <f>IF(C612="","",IF(B612="","Needs ID",IF(OR(C612="loan",C612="send_out"),IF(COUNTIF($L$2:$L$1001,B612)&gt;0,"Closed",IF(K612="","Open",IF(K612&lt;NOW(),"Overdue","Open"))),IF(C612="return",IF(OR(L612="",COUNTIF($B$2:$B$1001,L612)=0),"No match",IF(OR(M612="worn",M612="damaged"),"Quarantine","Returned")),IF(C612="issue","Issued",IF(C612="transfer","Moved",IF(C612="write_off","Written off",IF(C612="unfilled","Unfilled",""))))))))</f>
      </c>
      <c r="B612" s="31"/>
      <c r="C612" s="35"/>
      <c r="D612" s="33"/>
      <c r="E612" s="31"/>
      <c r="F612" s="31"/>
      <c r="G612" s="37">
        <f>IF(F612="","",IF(ISNA(MATCH(F612,'Item master'!$A$2:$A$301,0)),"Not in Item master",IFERROR(INDEX('Item master'!$B$2:$B$301,MATCH(F612,'Item master'!$A$2:$A$301,0))&amp;"","")))</f>
      </c>
      <c r="H612" s="34"/>
      <c r="I612" s="31"/>
      <c r="J612" s="31"/>
      <c r="K612" s="33"/>
      <c r="L612" s="31"/>
      <c r="M612" s="35"/>
      <c r="N612" s="30"/>
      <c r="O612" s="30"/>
      <c r="P612" s="36"/>
      <c r="Q612" s="38">
        <f>IF(OR(C612&lt;&gt;"loan",E612=""),"",IF(ISNA(MATCH(E612,Units!$A$2:$A$501,0)),"",IF(INDEX(Units!$E$2:$E$501,MATCH(E612,Units!$A$2:$A$501,0))="","",IF(K612="","No due date",IF(INT(K612)&gt;INDEX(Units!$E$2:$E$501,MATCH(E612,Units!$A$2:$A$501,0)),"Past cal date","OK")))))</f>
      </c>
      <c r="R612" s="37">
        <f>IF(A612="Overdue",K612+ROW()/10000000,"")</f>
      </c>
    </row>
    <row r="613">
      <c r="A613" s="38">
        <f>IF(C613="","",IF(B613="","Needs ID",IF(OR(C613="loan",C613="send_out"),IF(COUNTIF($L$2:$L$1001,B613)&gt;0,"Closed",IF(K613="","Open",IF(K613&lt;NOW(),"Overdue","Open"))),IF(C613="return",IF(OR(L613="",COUNTIF($B$2:$B$1001,L613)=0),"No match",IF(OR(M613="worn",M613="damaged"),"Quarantine","Returned")),IF(C613="issue","Issued",IF(C613="transfer","Moved",IF(C613="write_off","Written off",IF(C613="unfilled","Unfilled",""))))))))</f>
      </c>
      <c r="B613" s="31"/>
      <c r="C613" s="35"/>
      <c r="D613" s="33"/>
      <c r="E613" s="31"/>
      <c r="F613" s="31"/>
      <c r="G613" s="37">
        <f>IF(F613="","",IF(ISNA(MATCH(F613,'Item master'!$A$2:$A$301,0)),"Not in Item master",IFERROR(INDEX('Item master'!$B$2:$B$301,MATCH(F613,'Item master'!$A$2:$A$301,0))&amp;"","")))</f>
      </c>
      <c r="H613" s="34"/>
      <c r="I613" s="31"/>
      <c r="J613" s="31"/>
      <c r="K613" s="33"/>
      <c r="L613" s="31"/>
      <c r="M613" s="35"/>
      <c r="N613" s="30"/>
      <c r="O613" s="30"/>
      <c r="P613" s="36"/>
      <c r="Q613" s="38">
        <f>IF(OR(C613&lt;&gt;"loan",E613=""),"",IF(ISNA(MATCH(E613,Units!$A$2:$A$501,0)),"",IF(INDEX(Units!$E$2:$E$501,MATCH(E613,Units!$A$2:$A$501,0))="","",IF(K613="","No due date",IF(INT(K613)&gt;INDEX(Units!$E$2:$E$501,MATCH(E613,Units!$A$2:$A$501,0)),"Past cal date","OK")))))</f>
      </c>
      <c r="R613" s="37">
        <f>IF(A613="Overdue",K613+ROW()/10000000,"")</f>
      </c>
    </row>
    <row r="614">
      <c r="A614" s="38">
        <f>IF(C614="","",IF(B614="","Needs ID",IF(OR(C614="loan",C614="send_out"),IF(COUNTIF($L$2:$L$1001,B614)&gt;0,"Closed",IF(K614="","Open",IF(K614&lt;NOW(),"Overdue","Open"))),IF(C614="return",IF(OR(L614="",COUNTIF($B$2:$B$1001,L614)=0),"No match",IF(OR(M614="worn",M614="damaged"),"Quarantine","Returned")),IF(C614="issue","Issued",IF(C614="transfer","Moved",IF(C614="write_off","Written off",IF(C614="unfilled","Unfilled",""))))))))</f>
      </c>
      <c r="B614" s="31"/>
      <c r="C614" s="35"/>
      <c r="D614" s="33"/>
      <c r="E614" s="31"/>
      <c r="F614" s="31"/>
      <c r="G614" s="37">
        <f>IF(F614="","",IF(ISNA(MATCH(F614,'Item master'!$A$2:$A$301,0)),"Not in Item master",IFERROR(INDEX('Item master'!$B$2:$B$301,MATCH(F614,'Item master'!$A$2:$A$301,0))&amp;"","")))</f>
      </c>
      <c r="H614" s="34"/>
      <c r="I614" s="31"/>
      <c r="J614" s="31"/>
      <c r="K614" s="33"/>
      <c r="L614" s="31"/>
      <c r="M614" s="35"/>
      <c r="N614" s="30"/>
      <c r="O614" s="30"/>
      <c r="P614" s="36"/>
      <c r="Q614" s="38">
        <f>IF(OR(C614&lt;&gt;"loan",E614=""),"",IF(ISNA(MATCH(E614,Units!$A$2:$A$501,0)),"",IF(INDEX(Units!$E$2:$E$501,MATCH(E614,Units!$A$2:$A$501,0))="","",IF(K614="","No due date",IF(INT(K614)&gt;INDEX(Units!$E$2:$E$501,MATCH(E614,Units!$A$2:$A$501,0)),"Past cal date","OK")))))</f>
      </c>
      <c r="R614" s="37">
        <f>IF(A614="Overdue",K614+ROW()/10000000,"")</f>
      </c>
    </row>
    <row r="615">
      <c r="A615" s="38">
        <f>IF(C615="","",IF(B615="","Needs ID",IF(OR(C615="loan",C615="send_out"),IF(COUNTIF($L$2:$L$1001,B615)&gt;0,"Closed",IF(K615="","Open",IF(K615&lt;NOW(),"Overdue","Open"))),IF(C615="return",IF(OR(L615="",COUNTIF($B$2:$B$1001,L615)=0),"No match",IF(OR(M615="worn",M615="damaged"),"Quarantine","Returned")),IF(C615="issue","Issued",IF(C615="transfer","Moved",IF(C615="write_off","Written off",IF(C615="unfilled","Unfilled",""))))))))</f>
      </c>
      <c r="B615" s="31"/>
      <c r="C615" s="35"/>
      <c r="D615" s="33"/>
      <c r="E615" s="31"/>
      <c r="F615" s="31"/>
      <c r="G615" s="37">
        <f>IF(F615="","",IF(ISNA(MATCH(F615,'Item master'!$A$2:$A$301,0)),"Not in Item master",IFERROR(INDEX('Item master'!$B$2:$B$301,MATCH(F615,'Item master'!$A$2:$A$301,0))&amp;"","")))</f>
      </c>
      <c r="H615" s="34"/>
      <c r="I615" s="31"/>
      <c r="J615" s="31"/>
      <c r="K615" s="33"/>
      <c r="L615" s="31"/>
      <c r="M615" s="35"/>
      <c r="N615" s="30"/>
      <c r="O615" s="30"/>
      <c r="P615" s="36"/>
      <c r="Q615" s="38">
        <f>IF(OR(C615&lt;&gt;"loan",E615=""),"",IF(ISNA(MATCH(E615,Units!$A$2:$A$501,0)),"",IF(INDEX(Units!$E$2:$E$501,MATCH(E615,Units!$A$2:$A$501,0))="","",IF(K615="","No due date",IF(INT(K615)&gt;INDEX(Units!$E$2:$E$501,MATCH(E615,Units!$A$2:$A$501,0)),"Past cal date","OK")))))</f>
      </c>
      <c r="R615" s="37">
        <f>IF(A615="Overdue",K615+ROW()/10000000,"")</f>
      </c>
    </row>
    <row r="616">
      <c r="A616" s="38">
        <f>IF(C616="","",IF(B616="","Needs ID",IF(OR(C616="loan",C616="send_out"),IF(COUNTIF($L$2:$L$1001,B616)&gt;0,"Closed",IF(K616="","Open",IF(K616&lt;NOW(),"Overdue","Open"))),IF(C616="return",IF(OR(L616="",COUNTIF($B$2:$B$1001,L616)=0),"No match",IF(OR(M616="worn",M616="damaged"),"Quarantine","Returned")),IF(C616="issue","Issued",IF(C616="transfer","Moved",IF(C616="write_off","Written off",IF(C616="unfilled","Unfilled",""))))))))</f>
      </c>
      <c r="B616" s="31"/>
      <c r="C616" s="35"/>
      <c r="D616" s="33"/>
      <c r="E616" s="31"/>
      <c r="F616" s="31"/>
      <c r="G616" s="37">
        <f>IF(F616="","",IF(ISNA(MATCH(F616,'Item master'!$A$2:$A$301,0)),"Not in Item master",IFERROR(INDEX('Item master'!$B$2:$B$301,MATCH(F616,'Item master'!$A$2:$A$301,0))&amp;"","")))</f>
      </c>
      <c r="H616" s="34"/>
      <c r="I616" s="31"/>
      <c r="J616" s="31"/>
      <c r="K616" s="33"/>
      <c r="L616" s="31"/>
      <c r="M616" s="35"/>
      <c r="N616" s="30"/>
      <c r="O616" s="30"/>
      <c r="P616" s="36"/>
      <c r="Q616" s="38">
        <f>IF(OR(C616&lt;&gt;"loan",E616=""),"",IF(ISNA(MATCH(E616,Units!$A$2:$A$501,0)),"",IF(INDEX(Units!$E$2:$E$501,MATCH(E616,Units!$A$2:$A$501,0))="","",IF(K616="","No due date",IF(INT(K616)&gt;INDEX(Units!$E$2:$E$501,MATCH(E616,Units!$A$2:$A$501,0)),"Past cal date","OK")))))</f>
      </c>
      <c r="R616" s="37">
        <f>IF(A616="Overdue",K616+ROW()/10000000,"")</f>
      </c>
    </row>
    <row r="617">
      <c r="A617" s="38">
        <f>IF(C617="","",IF(B617="","Needs ID",IF(OR(C617="loan",C617="send_out"),IF(COUNTIF($L$2:$L$1001,B617)&gt;0,"Closed",IF(K617="","Open",IF(K617&lt;NOW(),"Overdue","Open"))),IF(C617="return",IF(OR(L617="",COUNTIF($B$2:$B$1001,L617)=0),"No match",IF(OR(M617="worn",M617="damaged"),"Quarantine","Returned")),IF(C617="issue","Issued",IF(C617="transfer","Moved",IF(C617="write_off","Written off",IF(C617="unfilled","Unfilled",""))))))))</f>
      </c>
      <c r="B617" s="31"/>
      <c r="C617" s="35"/>
      <c r="D617" s="33"/>
      <c r="E617" s="31"/>
      <c r="F617" s="31"/>
      <c r="G617" s="37">
        <f>IF(F617="","",IF(ISNA(MATCH(F617,'Item master'!$A$2:$A$301,0)),"Not in Item master",IFERROR(INDEX('Item master'!$B$2:$B$301,MATCH(F617,'Item master'!$A$2:$A$301,0))&amp;"","")))</f>
      </c>
      <c r="H617" s="34"/>
      <c r="I617" s="31"/>
      <c r="J617" s="31"/>
      <c r="K617" s="33"/>
      <c r="L617" s="31"/>
      <c r="M617" s="35"/>
      <c r="N617" s="30"/>
      <c r="O617" s="30"/>
      <c r="P617" s="36"/>
      <c r="Q617" s="38">
        <f>IF(OR(C617&lt;&gt;"loan",E617=""),"",IF(ISNA(MATCH(E617,Units!$A$2:$A$501,0)),"",IF(INDEX(Units!$E$2:$E$501,MATCH(E617,Units!$A$2:$A$501,0))="","",IF(K617="","No due date",IF(INT(K617)&gt;INDEX(Units!$E$2:$E$501,MATCH(E617,Units!$A$2:$A$501,0)),"Past cal date","OK")))))</f>
      </c>
      <c r="R617" s="37">
        <f>IF(A617="Overdue",K617+ROW()/10000000,"")</f>
      </c>
    </row>
    <row r="618">
      <c r="A618" s="38">
        <f>IF(C618="","",IF(B618="","Needs ID",IF(OR(C618="loan",C618="send_out"),IF(COUNTIF($L$2:$L$1001,B618)&gt;0,"Closed",IF(K618="","Open",IF(K618&lt;NOW(),"Overdue","Open"))),IF(C618="return",IF(OR(L618="",COUNTIF($B$2:$B$1001,L618)=0),"No match",IF(OR(M618="worn",M618="damaged"),"Quarantine","Returned")),IF(C618="issue","Issued",IF(C618="transfer","Moved",IF(C618="write_off","Written off",IF(C618="unfilled","Unfilled",""))))))))</f>
      </c>
      <c r="B618" s="31"/>
      <c r="C618" s="35"/>
      <c r="D618" s="33"/>
      <c r="E618" s="31"/>
      <c r="F618" s="31"/>
      <c r="G618" s="37">
        <f>IF(F618="","",IF(ISNA(MATCH(F618,'Item master'!$A$2:$A$301,0)),"Not in Item master",IFERROR(INDEX('Item master'!$B$2:$B$301,MATCH(F618,'Item master'!$A$2:$A$301,0))&amp;"","")))</f>
      </c>
      <c r="H618" s="34"/>
      <c r="I618" s="31"/>
      <c r="J618" s="31"/>
      <c r="K618" s="33"/>
      <c r="L618" s="31"/>
      <c r="M618" s="35"/>
      <c r="N618" s="30"/>
      <c r="O618" s="30"/>
      <c r="P618" s="36"/>
      <c r="Q618" s="38">
        <f>IF(OR(C618&lt;&gt;"loan",E618=""),"",IF(ISNA(MATCH(E618,Units!$A$2:$A$501,0)),"",IF(INDEX(Units!$E$2:$E$501,MATCH(E618,Units!$A$2:$A$501,0))="","",IF(K618="","No due date",IF(INT(K618)&gt;INDEX(Units!$E$2:$E$501,MATCH(E618,Units!$A$2:$A$501,0)),"Past cal date","OK")))))</f>
      </c>
      <c r="R618" s="37">
        <f>IF(A618="Overdue",K618+ROW()/10000000,"")</f>
      </c>
    </row>
    <row r="619">
      <c r="A619" s="38">
        <f>IF(C619="","",IF(B619="","Needs ID",IF(OR(C619="loan",C619="send_out"),IF(COUNTIF($L$2:$L$1001,B619)&gt;0,"Closed",IF(K619="","Open",IF(K619&lt;NOW(),"Overdue","Open"))),IF(C619="return",IF(OR(L619="",COUNTIF($B$2:$B$1001,L619)=0),"No match",IF(OR(M619="worn",M619="damaged"),"Quarantine","Returned")),IF(C619="issue","Issued",IF(C619="transfer","Moved",IF(C619="write_off","Written off",IF(C619="unfilled","Unfilled",""))))))))</f>
      </c>
      <c r="B619" s="31"/>
      <c r="C619" s="35"/>
      <c r="D619" s="33"/>
      <c r="E619" s="31"/>
      <c r="F619" s="31"/>
      <c r="G619" s="37">
        <f>IF(F619="","",IF(ISNA(MATCH(F619,'Item master'!$A$2:$A$301,0)),"Not in Item master",IFERROR(INDEX('Item master'!$B$2:$B$301,MATCH(F619,'Item master'!$A$2:$A$301,0))&amp;"","")))</f>
      </c>
      <c r="H619" s="34"/>
      <c r="I619" s="31"/>
      <c r="J619" s="31"/>
      <c r="K619" s="33"/>
      <c r="L619" s="31"/>
      <c r="M619" s="35"/>
      <c r="N619" s="30"/>
      <c r="O619" s="30"/>
      <c r="P619" s="36"/>
      <c r="Q619" s="38">
        <f>IF(OR(C619&lt;&gt;"loan",E619=""),"",IF(ISNA(MATCH(E619,Units!$A$2:$A$501,0)),"",IF(INDEX(Units!$E$2:$E$501,MATCH(E619,Units!$A$2:$A$501,0))="","",IF(K619="","No due date",IF(INT(K619)&gt;INDEX(Units!$E$2:$E$501,MATCH(E619,Units!$A$2:$A$501,0)),"Past cal date","OK")))))</f>
      </c>
      <c r="R619" s="37">
        <f>IF(A619="Overdue",K619+ROW()/10000000,"")</f>
      </c>
    </row>
    <row r="620">
      <c r="A620" s="38">
        <f>IF(C620="","",IF(B620="","Needs ID",IF(OR(C620="loan",C620="send_out"),IF(COUNTIF($L$2:$L$1001,B620)&gt;0,"Closed",IF(K620="","Open",IF(K620&lt;NOW(),"Overdue","Open"))),IF(C620="return",IF(OR(L620="",COUNTIF($B$2:$B$1001,L620)=0),"No match",IF(OR(M620="worn",M620="damaged"),"Quarantine","Returned")),IF(C620="issue","Issued",IF(C620="transfer","Moved",IF(C620="write_off","Written off",IF(C620="unfilled","Unfilled",""))))))))</f>
      </c>
      <c r="B620" s="31"/>
      <c r="C620" s="35"/>
      <c r="D620" s="33"/>
      <c r="E620" s="31"/>
      <c r="F620" s="31"/>
      <c r="G620" s="37">
        <f>IF(F620="","",IF(ISNA(MATCH(F620,'Item master'!$A$2:$A$301,0)),"Not in Item master",IFERROR(INDEX('Item master'!$B$2:$B$301,MATCH(F620,'Item master'!$A$2:$A$301,0))&amp;"","")))</f>
      </c>
      <c r="H620" s="34"/>
      <c r="I620" s="31"/>
      <c r="J620" s="31"/>
      <c r="K620" s="33"/>
      <c r="L620" s="31"/>
      <c r="M620" s="35"/>
      <c r="N620" s="30"/>
      <c r="O620" s="30"/>
      <c r="P620" s="36"/>
      <c r="Q620" s="38">
        <f>IF(OR(C620&lt;&gt;"loan",E620=""),"",IF(ISNA(MATCH(E620,Units!$A$2:$A$501,0)),"",IF(INDEX(Units!$E$2:$E$501,MATCH(E620,Units!$A$2:$A$501,0))="","",IF(K620="","No due date",IF(INT(K620)&gt;INDEX(Units!$E$2:$E$501,MATCH(E620,Units!$A$2:$A$501,0)),"Past cal date","OK")))))</f>
      </c>
      <c r="R620" s="37">
        <f>IF(A620="Overdue",K620+ROW()/10000000,"")</f>
      </c>
    </row>
    <row r="621">
      <c r="A621" s="38">
        <f>IF(C621="","",IF(B621="","Needs ID",IF(OR(C621="loan",C621="send_out"),IF(COUNTIF($L$2:$L$1001,B621)&gt;0,"Closed",IF(K621="","Open",IF(K621&lt;NOW(),"Overdue","Open"))),IF(C621="return",IF(OR(L621="",COUNTIF($B$2:$B$1001,L621)=0),"No match",IF(OR(M621="worn",M621="damaged"),"Quarantine","Returned")),IF(C621="issue","Issued",IF(C621="transfer","Moved",IF(C621="write_off","Written off",IF(C621="unfilled","Unfilled",""))))))))</f>
      </c>
      <c r="B621" s="31"/>
      <c r="C621" s="35"/>
      <c r="D621" s="33"/>
      <c r="E621" s="31"/>
      <c r="F621" s="31"/>
      <c r="G621" s="37">
        <f>IF(F621="","",IF(ISNA(MATCH(F621,'Item master'!$A$2:$A$301,0)),"Not in Item master",IFERROR(INDEX('Item master'!$B$2:$B$301,MATCH(F621,'Item master'!$A$2:$A$301,0))&amp;"","")))</f>
      </c>
      <c r="H621" s="34"/>
      <c r="I621" s="31"/>
      <c r="J621" s="31"/>
      <c r="K621" s="33"/>
      <c r="L621" s="31"/>
      <c r="M621" s="35"/>
      <c r="N621" s="30"/>
      <c r="O621" s="30"/>
      <c r="P621" s="36"/>
      <c r="Q621" s="38">
        <f>IF(OR(C621&lt;&gt;"loan",E621=""),"",IF(ISNA(MATCH(E621,Units!$A$2:$A$501,0)),"",IF(INDEX(Units!$E$2:$E$501,MATCH(E621,Units!$A$2:$A$501,0))="","",IF(K621="","No due date",IF(INT(K621)&gt;INDEX(Units!$E$2:$E$501,MATCH(E621,Units!$A$2:$A$501,0)),"Past cal date","OK")))))</f>
      </c>
      <c r="R621" s="37">
        <f>IF(A621="Overdue",K621+ROW()/10000000,"")</f>
      </c>
    </row>
    <row r="622">
      <c r="A622" s="38">
        <f>IF(C622="","",IF(B622="","Needs ID",IF(OR(C622="loan",C622="send_out"),IF(COUNTIF($L$2:$L$1001,B622)&gt;0,"Closed",IF(K622="","Open",IF(K622&lt;NOW(),"Overdue","Open"))),IF(C622="return",IF(OR(L622="",COUNTIF($B$2:$B$1001,L622)=0),"No match",IF(OR(M622="worn",M622="damaged"),"Quarantine","Returned")),IF(C622="issue","Issued",IF(C622="transfer","Moved",IF(C622="write_off","Written off",IF(C622="unfilled","Unfilled",""))))))))</f>
      </c>
      <c r="B622" s="31"/>
      <c r="C622" s="35"/>
      <c r="D622" s="33"/>
      <c r="E622" s="31"/>
      <c r="F622" s="31"/>
      <c r="G622" s="37">
        <f>IF(F622="","",IF(ISNA(MATCH(F622,'Item master'!$A$2:$A$301,0)),"Not in Item master",IFERROR(INDEX('Item master'!$B$2:$B$301,MATCH(F622,'Item master'!$A$2:$A$301,0))&amp;"","")))</f>
      </c>
      <c r="H622" s="34"/>
      <c r="I622" s="31"/>
      <c r="J622" s="31"/>
      <c r="K622" s="33"/>
      <c r="L622" s="31"/>
      <c r="M622" s="35"/>
      <c r="N622" s="30"/>
      <c r="O622" s="30"/>
      <c r="P622" s="36"/>
      <c r="Q622" s="38">
        <f>IF(OR(C622&lt;&gt;"loan",E622=""),"",IF(ISNA(MATCH(E622,Units!$A$2:$A$501,0)),"",IF(INDEX(Units!$E$2:$E$501,MATCH(E622,Units!$A$2:$A$501,0))="","",IF(K622="","No due date",IF(INT(K622)&gt;INDEX(Units!$E$2:$E$501,MATCH(E622,Units!$A$2:$A$501,0)),"Past cal date","OK")))))</f>
      </c>
      <c r="R622" s="37">
        <f>IF(A622="Overdue",K622+ROW()/10000000,"")</f>
      </c>
    </row>
    <row r="623">
      <c r="A623" s="38">
        <f>IF(C623="","",IF(B623="","Needs ID",IF(OR(C623="loan",C623="send_out"),IF(COUNTIF($L$2:$L$1001,B623)&gt;0,"Closed",IF(K623="","Open",IF(K623&lt;NOW(),"Overdue","Open"))),IF(C623="return",IF(OR(L623="",COUNTIF($B$2:$B$1001,L623)=0),"No match",IF(OR(M623="worn",M623="damaged"),"Quarantine","Returned")),IF(C623="issue","Issued",IF(C623="transfer","Moved",IF(C623="write_off","Written off",IF(C623="unfilled","Unfilled",""))))))))</f>
      </c>
      <c r="B623" s="31"/>
      <c r="C623" s="35"/>
      <c r="D623" s="33"/>
      <c r="E623" s="31"/>
      <c r="F623" s="31"/>
      <c r="G623" s="37">
        <f>IF(F623="","",IF(ISNA(MATCH(F623,'Item master'!$A$2:$A$301,0)),"Not in Item master",IFERROR(INDEX('Item master'!$B$2:$B$301,MATCH(F623,'Item master'!$A$2:$A$301,0))&amp;"","")))</f>
      </c>
      <c r="H623" s="34"/>
      <c r="I623" s="31"/>
      <c r="J623" s="31"/>
      <c r="K623" s="33"/>
      <c r="L623" s="31"/>
      <c r="M623" s="35"/>
      <c r="N623" s="30"/>
      <c r="O623" s="30"/>
      <c r="P623" s="36"/>
      <c r="Q623" s="38">
        <f>IF(OR(C623&lt;&gt;"loan",E623=""),"",IF(ISNA(MATCH(E623,Units!$A$2:$A$501,0)),"",IF(INDEX(Units!$E$2:$E$501,MATCH(E623,Units!$A$2:$A$501,0))="","",IF(K623="","No due date",IF(INT(K623)&gt;INDEX(Units!$E$2:$E$501,MATCH(E623,Units!$A$2:$A$501,0)),"Past cal date","OK")))))</f>
      </c>
      <c r="R623" s="37">
        <f>IF(A623="Overdue",K623+ROW()/10000000,"")</f>
      </c>
    </row>
    <row r="624">
      <c r="A624" s="38">
        <f>IF(C624="","",IF(B624="","Needs ID",IF(OR(C624="loan",C624="send_out"),IF(COUNTIF($L$2:$L$1001,B624)&gt;0,"Closed",IF(K624="","Open",IF(K624&lt;NOW(),"Overdue","Open"))),IF(C624="return",IF(OR(L624="",COUNTIF($B$2:$B$1001,L624)=0),"No match",IF(OR(M624="worn",M624="damaged"),"Quarantine","Returned")),IF(C624="issue","Issued",IF(C624="transfer","Moved",IF(C624="write_off","Written off",IF(C624="unfilled","Unfilled",""))))))))</f>
      </c>
      <c r="B624" s="31"/>
      <c r="C624" s="35"/>
      <c r="D624" s="33"/>
      <c r="E624" s="31"/>
      <c r="F624" s="31"/>
      <c r="G624" s="37">
        <f>IF(F624="","",IF(ISNA(MATCH(F624,'Item master'!$A$2:$A$301,0)),"Not in Item master",IFERROR(INDEX('Item master'!$B$2:$B$301,MATCH(F624,'Item master'!$A$2:$A$301,0))&amp;"","")))</f>
      </c>
      <c r="H624" s="34"/>
      <c r="I624" s="31"/>
      <c r="J624" s="31"/>
      <c r="K624" s="33"/>
      <c r="L624" s="31"/>
      <c r="M624" s="35"/>
      <c r="N624" s="30"/>
      <c r="O624" s="30"/>
      <c r="P624" s="36"/>
      <c r="Q624" s="38">
        <f>IF(OR(C624&lt;&gt;"loan",E624=""),"",IF(ISNA(MATCH(E624,Units!$A$2:$A$501,0)),"",IF(INDEX(Units!$E$2:$E$501,MATCH(E624,Units!$A$2:$A$501,0))="","",IF(K624="","No due date",IF(INT(K624)&gt;INDEX(Units!$E$2:$E$501,MATCH(E624,Units!$A$2:$A$501,0)),"Past cal date","OK")))))</f>
      </c>
      <c r="R624" s="37">
        <f>IF(A624="Overdue",K624+ROW()/10000000,"")</f>
      </c>
    </row>
    <row r="625">
      <c r="A625" s="38">
        <f>IF(C625="","",IF(B625="","Needs ID",IF(OR(C625="loan",C625="send_out"),IF(COUNTIF($L$2:$L$1001,B625)&gt;0,"Closed",IF(K625="","Open",IF(K625&lt;NOW(),"Overdue","Open"))),IF(C625="return",IF(OR(L625="",COUNTIF($B$2:$B$1001,L625)=0),"No match",IF(OR(M625="worn",M625="damaged"),"Quarantine","Returned")),IF(C625="issue","Issued",IF(C625="transfer","Moved",IF(C625="write_off","Written off",IF(C625="unfilled","Unfilled",""))))))))</f>
      </c>
      <c r="B625" s="31"/>
      <c r="C625" s="35"/>
      <c r="D625" s="33"/>
      <c r="E625" s="31"/>
      <c r="F625" s="31"/>
      <c r="G625" s="37">
        <f>IF(F625="","",IF(ISNA(MATCH(F625,'Item master'!$A$2:$A$301,0)),"Not in Item master",IFERROR(INDEX('Item master'!$B$2:$B$301,MATCH(F625,'Item master'!$A$2:$A$301,0))&amp;"","")))</f>
      </c>
      <c r="H625" s="34"/>
      <c r="I625" s="31"/>
      <c r="J625" s="31"/>
      <c r="K625" s="33"/>
      <c r="L625" s="31"/>
      <c r="M625" s="35"/>
      <c r="N625" s="30"/>
      <c r="O625" s="30"/>
      <c r="P625" s="36"/>
      <c r="Q625" s="38">
        <f>IF(OR(C625&lt;&gt;"loan",E625=""),"",IF(ISNA(MATCH(E625,Units!$A$2:$A$501,0)),"",IF(INDEX(Units!$E$2:$E$501,MATCH(E625,Units!$A$2:$A$501,0))="","",IF(K625="","No due date",IF(INT(K625)&gt;INDEX(Units!$E$2:$E$501,MATCH(E625,Units!$A$2:$A$501,0)),"Past cal date","OK")))))</f>
      </c>
      <c r="R625" s="37">
        <f>IF(A625="Overdue",K625+ROW()/10000000,"")</f>
      </c>
    </row>
    <row r="626">
      <c r="A626" s="38">
        <f>IF(C626="","",IF(B626="","Needs ID",IF(OR(C626="loan",C626="send_out"),IF(COUNTIF($L$2:$L$1001,B626)&gt;0,"Closed",IF(K626="","Open",IF(K626&lt;NOW(),"Overdue","Open"))),IF(C626="return",IF(OR(L626="",COUNTIF($B$2:$B$1001,L626)=0),"No match",IF(OR(M626="worn",M626="damaged"),"Quarantine","Returned")),IF(C626="issue","Issued",IF(C626="transfer","Moved",IF(C626="write_off","Written off",IF(C626="unfilled","Unfilled",""))))))))</f>
      </c>
      <c r="B626" s="31"/>
      <c r="C626" s="35"/>
      <c r="D626" s="33"/>
      <c r="E626" s="31"/>
      <c r="F626" s="31"/>
      <c r="G626" s="37">
        <f>IF(F626="","",IF(ISNA(MATCH(F626,'Item master'!$A$2:$A$301,0)),"Not in Item master",IFERROR(INDEX('Item master'!$B$2:$B$301,MATCH(F626,'Item master'!$A$2:$A$301,0))&amp;"","")))</f>
      </c>
      <c r="H626" s="34"/>
      <c r="I626" s="31"/>
      <c r="J626" s="31"/>
      <c r="K626" s="33"/>
      <c r="L626" s="31"/>
      <c r="M626" s="35"/>
      <c r="N626" s="30"/>
      <c r="O626" s="30"/>
      <c r="P626" s="36"/>
      <c r="Q626" s="38">
        <f>IF(OR(C626&lt;&gt;"loan",E626=""),"",IF(ISNA(MATCH(E626,Units!$A$2:$A$501,0)),"",IF(INDEX(Units!$E$2:$E$501,MATCH(E626,Units!$A$2:$A$501,0))="","",IF(K626="","No due date",IF(INT(K626)&gt;INDEX(Units!$E$2:$E$501,MATCH(E626,Units!$A$2:$A$501,0)),"Past cal date","OK")))))</f>
      </c>
      <c r="R626" s="37">
        <f>IF(A626="Overdue",K626+ROW()/10000000,"")</f>
      </c>
    </row>
    <row r="627">
      <c r="A627" s="38">
        <f>IF(C627="","",IF(B627="","Needs ID",IF(OR(C627="loan",C627="send_out"),IF(COUNTIF($L$2:$L$1001,B627)&gt;0,"Closed",IF(K627="","Open",IF(K627&lt;NOW(),"Overdue","Open"))),IF(C627="return",IF(OR(L627="",COUNTIF($B$2:$B$1001,L627)=0),"No match",IF(OR(M627="worn",M627="damaged"),"Quarantine","Returned")),IF(C627="issue","Issued",IF(C627="transfer","Moved",IF(C627="write_off","Written off",IF(C627="unfilled","Unfilled",""))))))))</f>
      </c>
      <c r="B627" s="31"/>
      <c r="C627" s="35"/>
      <c r="D627" s="33"/>
      <c r="E627" s="31"/>
      <c r="F627" s="31"/>
      <c r="G627" s="37">
        <f>IF(F627="","",IF(ISNA(MATCH(F627,'Item master'!$A$2:$A$301,0)),"Not in Item master",IFERROR(INDEX('Item master'!$B$2:$B$301,MATCH(F627,'Item master'!$A$2:$A$301,0))&amp;"","")))</f>
      </c>
      <c r="H627" s="34"/>
      <c r="I627" s="31"/>
      <c r="J627" s="31"/>
      <c r="K627" s="33"/>
      <c r="L627" s="31"/>
      <c r="M627" s="35"/>
      <c r="N627" s="30"/>
      <c r="O627" s="30"/>
      <c r="P627" s="36"/>
      <c r="Q627" s="38">
        <f>IF(OR(C627&lt;&gt;"loan",E627=""),"",IF(ISNA(MATCH(E627,Units!$A$2:$A$501,0)),"",IF(INDEX(Units!$E$2:$E$501,MATCH(E627,Units!$A$2:$A$501,0))="","",IF(K627="","No due date",IF(INT(K627)&gt;INDEX(Units!$E$2:$E$501,MATCH(E627,Units!$A$2:$A$501,0)),"Past cal date","OK")))))</f>
      </c>
      <c r="R627" s="37">
        <f>IF(A627="Overdue",K627+ROW()/10000000,"")</f>
      </c>
    </row>
    <row r="628">
      <c r="A628" s="38">
        <f>IF(C628="","",IF(B628="","Needs ID",IF(OR(C628="loan",C628="send_out"),IF(COUNTIF($L$2:$L$1001,B628)&gt;0,"Closed",IF(K628="","Open",IF(K628&lt;NOW(),"Overdue","Open"))),IF(C628="return",IF(OR(L628="",COUNTIF($B$2:$B$1001,L628)=0),"No match",IF(OR(M628="worn",M628="damaged"),"Quarantine","Returned")),IF(C628="issue","Issued",IF(C628="transfer","Moved",IF(C628="write_off","Written off",IF(C628="unfilled","Unfilled",""))))))))</f>
      </c>
      <c r="B628" s="31"/>
      <c r="C628" s="35"/>
      <c r="D628" s="33"/>
      <c r="E628" s="31"/>
      <c r="F628" s="31"/>
      <c r="G628" s="37">
        <f>IF(F628="","",IF(ISNA(MATCH(F628,'Item master'!$A$2:$A$301,0)),"Not in Item master",IFERROR(INDEX('Item master'!$B$2:$B$301,MATCH(F628,'Item master'!$A$2:$A$301,0))&amp;"","")))</f>
      </c>
      <c r="H628" s="34"/>
      <c r="I628" s="31"/>
      <c r="J628" s="31"/>
      <c r="K628" s="33"/>
      <c r="L628" s="31"/>
      <c r="M628" s="35"/>
      <c r="N628" s="30"/>
      <c r="O628" s="30"/>
      <c r="P628" s="36"/>
      <c r="Q628" s="38">
        <f>IF(OR(C628&lt;&gt;"loan",E628=""),"",IF(ISNA(MATCH(E628,Units!$A$2:$A$501,0)),"",IF(INDEX(Units!$E$2:$E$501,MATCH(E628,Units!$A$2:$A$501,0))="","",IF(K628="","No due date",IF(INT(K628)&gt;INDEX(Units!$E$2:$E$501,MATCH(E628,Units!$A$2:$A$501,0)),"Past cal date","OK")))))</f>
      </c>
      <c r="R628" s="37">
        <f>IF(A628="Overdue",K628+ROW()/10000000,"")</f>
      </c>
    </row>
    <row r="629">
      <c r="A629" s="38">
        <f>IF(C629="","",IF(B629="","Needs ID",IF(OR(C629="loan",C629="send_out"),IF(COUNTIF($L$2:$L$1001,B629)&gt;0,"Closed",IF(K629="","Open",IF(K629&lt;NOW(),"Overdue","Open"))),IF(C629="return",IF(OR(L629="",COUNTIF($B$2:$B$1001,L629)=0),"No match",IF(OR(M629="worn",M629="damaged"),"Quarantine","Returned")),IF(C629="issue","Issued",IF(C629="transfer","Moved",IF(C629="write_off","Written off",IF(C629="unfilled","Unfilled",""))))))))</f>
      </c>
      <c r="B629" s="31"/>
      <c r="C629" s="35"/>
      <c r="D629" s="33"/>
      <c r="E629" s="31"/>
      <c r="F629" s="31"/>
      <c r="G629" s="37">
        <f>IF(F629="","",IF(ISNA(MATCH(F629,'Item master'!$A$2:$A$301,0)),"Not in Item master",IFERROR(INDEX('Item master'!$B$2:$B$301,MATCH(F629,'Item master'!$A$2:$A$301,0))&amp;"","")))</f>
      </c>
      <c r="H629" s="34"/>
      <c r="I629" s="31"/>
      <c r="J629" s="31"/>
      <c r="K629" s="33"/>
      <c r="L629" s="31"/>
      <c r="M629" s="35"/>
      <c r="N629" s="30"/>
      <c r="O629" s="30"/>
      <c r="P629" s="36"/>
      <c r="Q629" s="38">
        <f>IF(OR(C629&lt;&gt;"loan",E629=""),"",IF(ISNA(MATCH(E629,Units!$A$2:$A$501,0)),"",IF(INDEX(Units!$E$2:$E$501,MATCH(E629,Units!$A$2:$A$501,0))="","",IF(K629="","No due date",IF(INT(K629)&gt;INDEX(Units!$E$2:$E$501,MATCH(E629,Units!$A$2:$A$501,0)),"Past cal date","OK")))))</f>
      </c>
      <c r="R629" s="37">
        <f>IF(A629="Overdue",K629+ROW()/10000000,"")</f>
      </c>
    </row>
    <row r="630">
      <c r="A630" s="38">
        <f>IF(C630="","",IF(B630="","Needs ID",IF(OR(C630="loan",C630="send_out"),IF(COUNTIF($L$2:$L$1001,B630)&gt;0,"Closed",IF(K630="","Open",IF(K630&lt;NOW(),"Overdue","Open"))),IF(C630="return",IF(OR(L630="",COUNTIF($B$2:$B$1001,L630)=0),"No match",IF(OR(M630="worn",M630="damaged"),"Quarantine","Returned")),IF(C630="issue","Issued",IF(C630="transfer","Moved",IF(C630="write_off","Written off",IF(C630="unfilled","Unfilled",""))))))))</f>
      </c>
      <c r="B630" s="31"/>
      <c r="C630" s="35"/>
      <c r="D630" s="33"/>
      <c r="E630" s="31"/>
      <c r="F630" s="31"/>
      <c r="G630" s="37">
        <f>IF(F630="","",IF(ISNA(MATCH(F630,'Item master'!$A$2:$A$301,0)),"Not in Item master",IFERROR(INDEX('Item master'!$B$2:$B$301,MATCH(F630,'Item master'!$A$2:$A$301,0))&amp;"","")))</f>
      </c>
      <c r="H630" s="34"/>
      <c r="I630" s="31"/>
      <c r="J630" s="31"/>
      <c r="K630" s="33"/>
      <c r="L630" s="31"/>
      <c r="M630" s="35"/>
      <c r="N630" s="30"/>
      <c r="O630" s="30"/>
      <c r="P630" s="36"/>
      <c r="Q630" s="38">
        <f>IF(OR(C630&lt;&gt;"loan",E630=""),"",IF(ISNA(MATCH(E630,Units!$A$2:$A$501,0)),"",IF(INDEX(Units!$E$2:$E$501,MATCH(E630,Units!$A$2:$A$501,0))="","",IF(K630="","No due date",IF(INT(K630)&gt;INDEX(Units!$E$2:$E$501,MATCH(E630,Units!$A$2:$A$501,0)),"Past cal date","OK")))))</f>
      </c>
      <c r="R630" s="37">
        <f>IF(A630="Overdue",K630+ROW()/10000000,"")</f>
      </c>
    </row>
    <row r="631">
      <c r="A631" s="38">
        <f>IF(C631="","",IF(B631="","Needs ID",IF(OR(C631="loan",C631="send_out"),IF(COUNTIF($L$2:$L$1001,B631)&gt;0,"Closed",IF(K631="","Open",IF(K631&lt;NOW(),"Overdue","Open"))),IF(C631="return",IF(OR(L631="",COUNTIF($B$2:$B$1001,L631)=0),"No match",IF(OR(M631="worn",M631="damaged"),"Quarantine","Returned")),IF(C631="issue","Issued",IF(C631="transfer","Moved",IF(C631="write_off","Written off",IF(C631="unfilled","Unfilled",""))))))))</f>
      </c>
      <c r="B631" s="31"/>
      <c r="C631" s="35"/>
      <c r="D631" s="33"/>
      <c r="E631" s="31"/>
      <c r="F631" s="31"/>
      <c r="G631" s="37">
        <f>IF(F631="","",IF(ISNA(MATCH(F631,'Item master'!$A$2:$A$301,0)),"Not in Item master",IFERROR(INDEX('Item master'!$B$2:$B$301,MATCH(F631,'Item master'!$A$2:$A$301,0))&amp;"","")))</f>
      </c>
      <c r="H631" s="34"/>
      <c r="I631" s="31"/>
      <c r="J631" s="31"/>
      <c r="K631" s="33"/>
      <c r="L631" s="31"/>
      <c r="M631" s="35"/>
      <c r="N631" s="30"/>
      <c r="O631" s="30"/>
      <c r="P631" s="36"/>
      <c r="Q631" s="38">
        <f>IF(OR(C631&lt;&gt;"loan",E631=""),"",IF(ISNA(MATCH(E631,Units!$A$2:$A$501,0)),"",IF(INDEX(Units!$E$2:$E$501,MATCH(E631,Units!$A$2:$A$501,0))="","",IF(K631="","No due date",IF(INT(K631)&gt;INDEX(Units!$E$2:$E$501,MATCH(E631,Units!$A$2:$A$501,0)),"Past cal date","OK")))))</f>
      </c>
      <c r="R631" s="37">
        <f>IF(A631="Overdue",K631+ROW()/10000000,"")</f>
      </c>
    </row>
    <row r="632">
      <c r="A632" s="38">
        <f>IF(C632="","",IF(B632="","Needs ID",IF(OR(C632="loan",C632="send_out"),IF(COUNTIF($L$2:$L$1001,B632)&gt;0,"Closed",IF(K632="","Open",IF(K632&lt;NOW(),"Overdue","Open"))),IF(C632="return",IF(OR(L632="",COUNTIF($B$2:$B$1001,L632)=0),"No match",IF(OR(M632="worn",M632="damaged"),"Quarantine","Returned")),IF(C632="issue","Issued",IF(C632="transfer","Moved",IF(C632="write_off","Written off",IF(C632="unfilled","Unfilled",""))))))))</f>
      </c>
      <c r="B632" s="31"/>
      <c r="C632" s="35"/>
      <c r="D632" s="33"/>
      <c r="E632" s="31"/>
      <c r="F632" s="31"/>
      <c r="G632" s="37">
        <f>IF(F632="","",IF(ISNA(MATCH(F632,'Item master'!$A$2:$A$301,0)),"Not in Item master",IFERROR(INDEX('Item master'!$B$2:$B$301,MATCH(F632,'Item master'!$A$2:$A$301,0))&amp;"","")))</f>
      </c>
      <c r="H632" s="34"/>
      <c r="I632" s="31"/>
      <c r="J632" s="31"/>
      <c r="K632" s="33"/>
      <c r="L632" s="31"/>
      <c r="M632" s="35"/>
      <c r="N632" s="30"/>
      <c r="O632" s="30"/>
      <c r="P632" s="36"/>
      <c r="Q632" s="38">
        <f>IF(OR(C632&lt;&gt;"loan",E632=""),"",IF(ISNA(MATCH(E632,Units!$A$2:$A$501,0)),"",IF(INDEX(Units!$E$2:$E$501,MATCH(E632,Units!$A$2:$A$501,0))="","",IF(K632="","No due date",IF(INT(K632)&gt;INDEX(Units!$E$2:$E$501,MATCH(E632,Units!$A$2:$A$501,0)),"Past cal date","OK")))))</f>
      </c>
      <c r="R632" s="37">
        <f>IF(A632="Overdue",K632+ROW()/10000000,"")</f>
      </c>
    </row>
    <row r="633">
      <c r="A633" s="38">
        <f>IF(C633="","",IF(B633="","Needs ID",IF(OR(C633="loan",C633="send_out"),IF(COUNTIF($L$2:$L$1001,B633)&gt;0,"Closed",IF(K633="","Open",IF(K633&lt;NOW(),"Overdue","Open"))),IF(C633="return",IF(OR(L633="",COUNTIF($B$2:$B$1001,L633)=0),"No match",IF(OR(M633="worn",M633="damaged"),"Quarantine","Returned")),IF(C633="issue","Issued",IF(C633="transfer","Moved",IF(C633="write_off","Written off",IF(C633="unfilled","Unfilled",""))))))))</f>
      </c>
      <c r="B633" s="31"/>
      <c r="C633" s="35"/>
      <c r="D633" s="33"/>
      <c r="E633" s="31"/>
      <c r="F633" s="31"/>
      <c r="G633" s="37">
        <f>IF(F633="","",IF(ISNA(MATCH(F633,'Item master'!$A$2:$A$301,0)),"Not in Item master",IFERROR(INDEX('Item master'!$B$2:$B$301,MATCH(F633,'Item master'!$A$2:$A$301,0))&amp;"","")))</f>
      </c>
      <c r="H633" s="34"/>
      <c r="I633" s="31"/>
      <c r="J633" s="31"/>
      <c r="K633" s="33"/>
      <c r="L633" s="31"/>
      <c r="M633" s="35"/>
      <c r="N633" s="30"/>
      <c r="O633" s="30"/>
      <c r="P633" s="36"/>
      <c r="Q633" s="38">
        <f>IF(OR(C633&lt;&gt;"loan",E633=""),"",IF(ISNA(MATCH(E633,Units!$A$2:$A$501,0)),"",IF(INDEX(Units!$E$2:$E$501,MATCH(E633,Units!$A$2:$A$501,0))="","",IF(K633="","No due date",IF(INT(K633)&gt;INDEX(Units!$E$2:$E$501,MATCH(E633,Units!$A$2:$A$501,0)),"Past cal date","OK")))))</f>
      </c>
      <c r="R633" s="37">
        <f>IF(A633="Overdue",K633+ROW()/10000000,"")</f>
      </c>
    </row>
    <row r="634">
      <c r="A634" s="38">
        <f>IF(C634="","",IF(B634="","Needs ID",IF(OR(C634="loan",C634="send_out"),IF(COUNTIF($L$2:$L$1001,B634)&gt;0,"Closed",IF(K634="","Open",IF(K634&lt;NOW(),"Overdue","Open"))),IF(C634="return",IF(OR(L634="",COUNTIF($B$2:$B$1001,L634)=0),"No match",IF(OR(M634="worn",M634="damaged"),"Quarantine","Returned")),IF(C634="issue","Issued",IF(C634="transfer","Moved",IF(C634="write_off","Written off",IF(C634="unfilled","Unfilled",""))))))))</f>
      </c>
      <c r="B634" s="31"/>
      <c r="C634" s="35"/>
      <c r="D634" s="33"/>
      <c r="E634" s="31"/>
      <c r="F634" s="31"/>
      <c r="G634" s="37">
        <f>IF(F634="","",IF(ISNA(MATCH(F634,'Item master'!$A$2:$A$301,0)),"Not in Item master",IFERROR(INDEX('Item master'!$B$2:$B$301,MATCH(F634,'Item master'!$A$2:$A$301,0))&amp;"","")))</f>
      </c>
      <c r="H634" s="34"/>
      <c r="I634" s="31"/>
      <c r="J634" s="31"/>
      <c r="K634" s="33"/>
      <c r="L634" s="31"/>
      <c r="M634" s="35"/>
      <c r="N634" s="30"/>
      <c r="O634" s="30"/>
      <c r="P634" s="36"/>
      <c r="Q634" s="38">
        <f>IF(OR(C634&lt;&gt;"loan",E634=""),"",IF(ISNA(MATCH(E634,Units!$A$2:$A$501,0)),"",IF(INDEX(Units!$E$2:$E$501,MATCH(E634,Units!$A$2:$A$501,0))="","",IF(K634="","No due date",IF(INT(K634)&gt;INDEX(Units!$E$2:$E$501,MATCH(E634,Units!$A$2:$A$501,0)),"Past cal date","OK")))))</f>
      </c>
      <c r="R634" s="37">
        <f>IF(A634="Overdue",K634+ROW()/10000000,"")</f>
      </c>
    </row>
    <row r="635">
      <c r="A635" s="38">
        <f>IF(C635="","",IF(B635="","Needs ID",IF(OR(C635="loan",C635="send_out"),IF(COUNTIF($L$2:$L$1001,B635)&gt;0,"Closed",IF(K635="","Open",IF(K635&lt;NOW(),"Overdue","Open"))),IF(C635="return",IF(OR(L635="",COUNTIF($B$2:$B$1001,L635)=0),"No match",IF(OR(M635="worn",M635="damaged"),"Quarantine","Returned")),IF(C635="issue","Issued",IF(C635="transfer","Moved",IF(C635="write_off","Written off",IF(C635="unfilled","Unfilled",""))))))))</f>
      </c>
      <c r="B635" s="31"/>
      <c r="C635" s="35"/>
      <c r="D635" s="33"/>
      <c r="E635" s="31"/>
      <c r="F635" s="31"/>
      <c r="G635" s="37">
        <f>IF(F635="","",IF(ISNA(MATCH(F635,'Item master'!$A$2:$A$301,0)),"Not in Item master",IFERROR(INDEX('Item master'!$B$2:$B$301,MATCH(F635,'Item master'!$A$2:$A$301,0))&amp;"","")))</f>
      </c>
      <c r="H635" s="34"/>
      <c r="I635" s="31"/>
      <c r="J635" s="31"/>
      <c r="K635" s="33"/>
      <c r="L635" s="31"/>
      <c r="M635" s="35"/>
      <c r="N635" s="30"/>
      <c r="O635" s="30"/>
      <c r="P635" s="36"/>
      <c r="Q635" s="38">
        <f>IF(OR(C635&lt;&gt;"loan",E635=""),"",IF(ISNA(MATCH(E635,Units!$A$2:$A$501,0)),"",IF(INDEX(Units!$E$2:$E$501,MATCH(E635,Units!$A$2:$A$501,0))="","",IF(K635="","No due date",IF(INT(K635)&gt;INDEX(Units!$E$2:$E$501,MATCH(E635,Units!$A$2:$A$501,0)),"Past cal date","OK")))))</f>
      </c>
      <c r="R635" s="37">
        <f>IF(A635="Overdue",K635+ROW()/10000000,"")</f>
      </c>
    </row>
    <row r="636">
      <c r="A636" s="38">
        <f>IF(C636="","",IF(B636="","Needs ID",IF(OR(C636="loan",C636="send_out"),IF(COUNTIF($L$2:$L$1001,B636)&gt;0,"Closed",IF(K636="","Open",IF(K636&lt;NOW(),"Overdue","Open"))),IF(C636="return",IF(OR(L636="",COUNTIF($B$2:$B$1001,L636)=0),"No match",IF(OR(M636="worn",M636="damaged"),"Quarantine","Returned")),IF(C636="issue","Issued",IF(C636="transfer","Moved",IF(C636="write_off","Written off",IF(C636="unfilled","Unfilled",""))))))))</f>
      </c>
      <c r="B636" s="31"/>
      <c r="C636" s="35"/>
      <c r="D636" s="33"/>
      <c r="E636" s="31"/>
      <c r="F636" s="31"/>
      <c r="G636" s="37">
        <f>IF(F636="","",IF(ISNA(MATCH(F636,'Item master'!$A$2:$A$301,0)),"Not in Item master",IFERROR(INDEX('Item master'!$B$2:$B$301,MATCH(F636,'Item master'!$A$2:$A$301,0))&amp;"","")))</f>
      </c>
      <c r="H636" s="34"/>
      <c r="I636" s="31"/>
      <c r="J636" s="31"/>
      <c r="K636" s="33"/>
      <c r="L636" s="31"/>
      <c r="M636" s="35"/>
      <c r="N636" s="30"/>
      <c r="O636" s="30"/>
      <c r="P636" s="36"/>
      <c r="Q636" s="38">
        <f>IF(OR(C636&lt;&gt;"loan",E636=""),"",IF(ISNA(MATCH(E636,Units!$A$2:$A$501,0)),"",IF(INDEX(Units!$E$2:$E$501,MATCH(E636,Units!$A$2:$A$501,0))="","",IF(K636="","No due date",IF(INT(K636)&gt;INDEX(Units!$E$2:$E$501,MATCH(E636,Units!$A$2:$A$501,0)),"Past cal date","OK")))))</f>
      </c>
      <c r="R636" s="37">
        <f>IF(A636="Overdue",K636+ROW()/10000000,"")</f>
      </c>
    </row>
    <row r="637">
      <c r="A637" s="38">
        <f>IF(C637="","",IF(B637="","Needs ID",IF(OR(C637="loan",C637="send_out"),IF(COUNTIF($L$2:$L$1001,B637)&gt;0,"Closed",IF(K637="","Open",IF(K637&lt;NOW(),"Overdue","Open"))),IF(C637="return",IF(OR(L637="",COUNTIF($B$2:$B$1001,L637)=0),"No match",IF(OR(M637="worn",M637="damaged"),"Quarantine","Returned")),IF(C637="issue","Issued",IF(C637="transfer","Moved",IF(C637="write_off","Written off",IF(C637="unfilled","Unfilled",""))))))))</f>
      </c>
      <c r="B637" s="31"/>
      <c r="C637" s="35"/>
      <c r="D637" s="33"/>
      <c r="E637" s="31"/>
      <c r="F637" s="31"/>
      <c r="G637" s="37">
        <f>IF(F637="","",IF(ISNA(MATCH(F637,'Item master'!$A$2:$A$301,0)),"Not in Item master",IFERROR(INDEX('Item master'!$B$2:$B$301,MATCH(F637,'Item master'!$A$2:$A$301,0))&amp;"","")))</f>
      </c>
      <c r="H637" s="34"/>
      <c r="I637" s="31"/>
      <c r="J637" s="31"/>
      <c r="K637" s="33"/>
      <c r="L637" s="31"/>
      <c r="M637" s="35"/>
      <c r="N637" s="30"/>
      <c r="O637" s="30"/>
      <c r="P637" s="36"/>
      <c r="Q637" s="38">
        <f>IF(OR(C637&lt;&gt;"loan",E637=""),"",IF(ISNA(MATCH(E637,Units!$A$2:$A$501,0)),"",IF(INDEX(Units!$E$2:$E$501,MATCH(E637,Units!$A$2:$A$501,0))="","",IF(K637="","No due date",IF(INT(K637)&gt;INDEX(Units!$E$2:$E$501,MATCH(E637,Units!$A$2:$A$501,0)),"Past cal date","OK")))))</f>
      </c>
      <c r="R637" s="37">
        <f>IF(A637="Overdue",K637+ROW()/10000000,"")</f>
      </c>
    </row>
    <row r="638">
      <c r="A638" s="38">
        <f>IF(C638="","",IF(B638="","Needs ID",IF(OR(C638="loan",C638="send_out"),IF(COUNTIF($L$2:$L$1001,B638)&gt;0,"Closed",IF(K638="","Open",IF(K638&lt;NOW(),"Overdue","Open"))),IF(C638="return",IF(OR(L638="",COUNTIF($B$2:$B$1001,L638)=0),"No match",IF(OR(M638="worn",M638="damaged"),"Quarantine","Returned")),IF(C638="issue","Issued",IF(C638="transfer","Moved",IF(C638="write_off","Written off",IF(C638="unfilled","Unfilled",""))))))))</f>
      </c>
      <c r="B638" s="31"/>
      <c r="C638" s="35"/>
      <c r="D638" s="33"/>
      <c r="E638" s="31"/>
      <c r="F638" s="31"/>
      <c r="G638" s="37">
        <f>IF(F638="","",IF(ISNA(MATCH(F638,'Item master'!$A$2:$A$301,0)),"Not in Item master",IFERROR(INDEX('Item master'!$B$2:$B$301,MATCH(F638,'Item master'!$A$2:$A$301,0))&amp;"","")))</f>
      </c>
      <c r="H638" s="34"/>
      <c r="I638" s="31"/>
      <c r="J638" s="31"/>
      <c r="K638" s="33"/>
      <c r="L638" s="31"/>
      <c r="M638" s="35"/>
      <c r="N638" s="30"/>
      <c r="O638" s="30"/>
      <c r="P638" s="36"/>
      <c r="Q638" s="38">
        <f>IF(OR(C638&lt;&gt;"loan",E638=""),"",IF(ISNA(MATCH(E638,Units!$A$2:$A$501,0)),"",IF(INDEX(Units!$E$2:$E$501,MATCH(E638,Units!$A$2:$A$501,0))="","",IF(K638="","No due date",IF(INT(K638)&gt;INDEX(Units!$E$2:$E$501,MATCH(E638,Units!$A$2:$A$501,0)),"Past cal date","OK")))))</f>
      </c>
      <c r="R638" s="37">
        <f>IF(A638="Overdue",K638+ROW()/10000000,"")</f>
      </c>
    </row>
    <row r="639">
      <c r="A639" s="38">
        <f>IF(C639="","",IF(B639="","Needs ID",IF(OR(C639="loan",C639="send_out"),IF(COUNTIF($L$2:$L$1001,B639)&gt;0,"Closed",IF(K639="","Open",IF(K639&lt;NOW(),"Overdue","Open"))),IF(C639="return",IF(OR(L639="",COUNTIF($B$2:$B$1001,L639)=0),"No match",IF(OR(M639="worn",M639="damaged"),"Quarantine","Returned")),IF(C639="issue","Issued",IF(C639="transfer","Moved",IF(C639="write_off","Written off",IF(C639="unfilled","Unfilled",""))))))))</f>
      </c>
      <c r="B639" s="31"/>
      <c r="C639" s="35"/>
      <c r="D639" s="33"/>
      <c r="E639" s="31"/>
      <c r="F639" s="31"/>
      <c r="G639" s="37">
        <f>IF(F639="","",IF(ISNA(MATCH(F639,'Item master'!$A$2:$A$301,0)),"Not in Item master",IFERROR(INDEX('Item master'!$B$2:$B$301,MATCH(F639,'Item master'!$A$2:$A$301,0))&amp;"","")))</f>
      </c>
      <c r="H639" s="34"/>
      <c r="I639" s="31"/>
      <c r="J639" s="31"/>
      <c r="K639" s="33"/>
      <c r="L639" s="31"/>
      <c r="M639" s="35"/>
      <c r="N639" s="30"/>
      <c r="O639" s="30"/>
      <c r="P639" s="36"/>
      <c r="Q639" s="38">
        <f>IF(OR(C639&lt;&gt;"loan",E639=""),"",IF(ISNA(MATCH(E639,Units!$A$2:$A$501,0)),"",IF(INDEX(Units!$E$2:$E$501,MATCH(E639,Units!$A$2:$A$501,0))="","",IF(K639="","No due date",IF(INT(K639)&gt;INDEX(Units!$E$2:$E$501,MATCH(E639,Units!$A$2:$A$501,0)),"Past cal date","OK")))))</f>
      </c>
      <c r="R639" s="37">
        <f>IF(A639="Overdue",K639+ROW()/10000000,"")</f>
      </c>
    </row>
    <row r="640">
      <c r="A640" s="38">
        <f>IF(C640="","",IF(B640="","Needs ID",IF(OR(C640="loan",C640="send_out"),IF(COUNTIF($L$2:$L$1001,B640)&gt;0,"Closed",IF(K640="","Open",IF(K640&lt;NOW(),"Overdue","Open"))),IF(C640="return",IF(OR(L640="",COUNTIF($B$2:$B$1001,L640)=0),"No match",IF(OR(M640="worn",M640="damaged"),"Quarantine","Returned")),IF(C640="issue","Issued",IF(C640="transfer","Moved",IF(C640="write_off","Written off",IF(C640="unfilled","Unfilled",""))))))))</f>
      </c>
      <c r="B640" s="31"/>
      <c r="C640" s="35"/>
      <c r="D640" s="33"/>
      <c r="E640" s="31"/>
      <c r="F640" s="31"/>
      <c r="G640" s="37">
        <f>IF(F640="","",IF(ISNA(MATCH(F640,'Item master'!$A$2:$A$301,0)),"Not in Item master",IFERROR(INDEX('Item master'!$B$2:$B$301,MATCH(F640,'Item master'!$A$2:$A$301,0))&amp;"","")))</f>
      </c>
      <c r="H640" s="34"/>
      <c r="I640" s="31"/>
      <c r="J640" s="31"/>
      <c r="K640" s="33"/>
      <c r="L640" s="31"/>
      <c r="M640" s="35"/>
      <c r="N640" s="30"/>
      <c r="O640" s="30"/>
      <c r="P640" s="36"/>
      <c r="Q640" s="38">
        <f>IF(OR(C640&lt;&gt;"loan",E640=""),"",IF(ISNA(MATCH(E640,Units!$A$2:$A$501,0)),"",IF(INDEX(Units!$E$2:$E$501,MATCH(E640,Units!$A$2:$A$501,0))="","",IF(K640="","No due date",IF(INT(K640)&gt;INDEX(Units!$E$2:$E$501,MATCH(E640,Units!$A$2:$A$501,0)),"Past cal date","OK")))))</f>
      </c>
      <c r="R640" s="37">
        <f>IF(A640="Overdue",K640+ROW()/10000000,"")</f>
      </c>
    </row>
    <row r="641">
      <c r="A641" s="38">
        <f>IF(C641="","",IF(B641="","Needs ID",IF(OR(C641="loan",C641="send_out"),IF(COUNTIF($L$2:$L$1001,B641)&gt;0,"Closed",IF(K641="","Open",IF(K641&lt;NOW(),"Overdue","Open"))),IF(C641="return",IF(OR(L641="",COUNTIF($B$2:$B$1001,L641)=0),"No match",IF(OR(M641="worn",M641="damaged"),"Quarantine","Returned")),IF(C641="issue","Issued",IF(C641="transfer","Moved",IF(C641="write_off","Written off",IF(C641="unfilled","Unfilled",""))))))))</f>
      </c>
      <c r="B641" s="31"/>
      <c r="C641" s="35"/>
      <c r="D641" s="33"/>
      <c r="E641" s="31"/>
      <c r="F641" s="31"/>
      <c r="G641" s="37">
        <f>IF(F641="","",IF(ISNA(MATCH(F641,'Item master'!$A$2:$A$301,0)),"Not in Item master",IFERROR(INDEX('Item master'!$B$2:$B$301,MATCH(F641,'Item master'!$A$2:$A$301,0))&amp;"","")))</f>
      </c>
      <c r="H641" s="34"/>
      <c r="I641" s="31"/>
      <c r="J641" s="31"/>
      <c r="K641" s="33"/>
      <c r="L641" s="31"/>
      <c r="M641" s="35"/>
      <c r="N641" s="30"/>
      <c r="O641" s="30"/>
      <c r="P641" s="36"/>
      <c r="Q641" s="38">
        <f>IF(OR(C641&lt;&gt;"loan",E641=""),"",IF(ISNA(MATCH(E641,Units!$A$2:$A$501,0)),"",IF(INDEX(Units!$E$2:$E$501,MATCH(E641,Units!$A$2:$A$501,0))="","",IF(K641="","No due date",IF(INT(K641)&gt;INDEX(Units!$E$2:$E$501,MATCH(E641,Units!$A$2:$A$501,0)),"Past cal date","OK")))))</f>
      </c>
      <c r="R641" s="37">
        <f>IF(A641="Overdue",K641+ROW()/10000000,"")</f>
      </c>
    </row>
    <row r="642">
      <c r="A642" s="38">
        <f>IF(C642="","",IF(B642="","Needs ID",IF(OR(C642="loan",C642="send_out"),IF(COUNTIF($L$2:$L$1001,B642)&gt;0,"Closed",IF(K642="","Open",IF(K642&lt;NOW(),"Overdue","Open"))),IF(C642="return",IF(OR(L642="",COUNTIF($B$2:$B$1001,L642)=0),"No match",IF(OR(M642="worn",M642="damaged"),"Quarantine","Returned")),IF(C642="issue","Issued",IF(C642="transfer","Moved",IF(C642="write_off","Written off",IF(C642="unfilled","Unfilled",""))))))))</f>
      </c>
      <c r="B642" s="31"/>
      <c r="C642" s="35"/>
      <c r="D642" s="33"/>
      <c r="E642" s="31"/>
      <c r="F642" s="31"/>
      <c r="G642" s="37">
        <f>IF(F642="","",IF(ISNA(MATCH(F642,'Item master'!$A$2:$A$301,0)),"Not in Item master",IFERROR(INDEX('Item master'!$B$2:$B$301,MATCH(F642,'Item master'!$A$2:$A$301,0))&amp;"","")))</f>
      </c>
      <c r="H642" s="34"/>
      <c r="I642" s="31"/>
      <c r="J642" s="31"/>
      <c r="K642" s="33"/>
      <c r="L642" s="31"/>
      <c r="M642" s="35"/>
      <c r="N642" s="30"/>
      <c r="O642" s="30"/>
      <c r="P642" s="36"/>
      <c r="Q642" s="38">
        <f>IF(OR(C642&lt;&gt;"loan",E642=""),"",IF(ISNA(MATCH(E642,Units!$A$2:$A$501,0)),"",IF(INDEX(Units!$E$2:$E$501,MATCH(E642,Units!$A$2:$A$501,0))="","",IF(K642="","No due date",IF(INT(K642)&gt;INDEX(Units!$E$2:$E$501,MATCH(E642,Units!$A$2:$A$501,0)),"Past cal date","OK")))))</f>
      </c>
      <c r="R642" s="37">
        <f>IF(A642="Overdue",K642+ROW()/10000000,"")</f>
      </c>
    </row>
    <row r="643">
      <c r="A643" s="38">
        <f>IF(C643="","",IF(B643="","Needs ID",IF(OR(C643="loan",C643="send_out"),IF(COUNTIF($L$2:$L$1001,B643)&gt;0,"Closed",IF(K643="","Open",IF(K643&lt;NOW(),"Overdue","Open"))),IF(C643="return",IF(OR(L643="",COUNTIF($B$2:$B$1001,L643)=0),"No match",IF(OR(M643="worn",M643="damaged"),"Quarantine","Returned")),IF(C643="issue","Issued",IF(C643="transfer","Moved",IF(C643="write_off","Written off",IF(C643="unfilled","Unfilled",""))))))))</f>
      </c>
      <c r="B643" s="31"/>
      <c r="C643" s="35"/>
      <c r="D643" s="33"/>
      <c r="E643" s="31"/>
      <c r="F643" s="31"/>
      <c r="G643" s="37">
        <f>IF(F643="","",IF(ISNA(MATCH(F643,'Item master'!$A$2:$A$301,0)),"Not in Item master",IFERROR(INDEX('Item master'!$B$2:$B$301,MATCH(F643,'Item master'!$A$2:$A$301,0))&amp;"","")))</f>
      </c>
      <c r="H643" s="34"/>
      <c r="I643" s="31"/>
      <c r="J643" s="31"/>
      <c r="K643" s="33"/>
      <c r="L643" s="31"/>
      <c r="M643" s="35"/>
      <c r="N643" s="30"/>
      <c r="O643" s="30"/>
      <c r="P643" s="36"/>
      <c r="Q643" s="38">
        <f>IF(OR(C643&lt;&gt;"loan",E643=""),"",IF(ISNA(MATCH(E643,Units!$A$2:$A$501,0)),"",IF(INDEX(Units!$E$2:$E$501,MATCH(E643,Units!$A$2:$A$501,0))="","",IF(K643="","No due date",IF(INT(K643)&gt;INDEX(Units!$E$2:$E$501,MATCH(E643,Units!$A$2:$A$501,0)),"Past cal date","OK")))))</f>
      </c>
      <c r="R643" s="37">
        <f>IF(A643="Overdue",K643+ROW()/10000000,"")</f>
      </c>
    </row>
    <row r="644">
      <c r="A644" s="38">
        <f>IF(C644="","",IF(B644="","Needs ID",IF(OR(C644="loan",C644="send_out"),IF(COUNTIF($L$2:$L$1001,B644)&gt;0,"Closed",IF(K644="","Open",IF(K644&lt;NOW(),"Overdue","Open"))),IF(C644="return",IF(OR(L644="",COUNTIF($B$2:$B$1001,L644)=0),"No match",IF(OR(M644="worn",M644="damaged"),"Quarantine","Returned")),IF(C644="issue","Issued",IF(C644="transfer","Moved",IF(C644="write_off","Written off",IF(C644="unfilled","Unfilled",""))))))))</f>
      </c>
      <c r="B644" s="31"/>
      <c r="C644" s="35"/>
      <c r="D644" s="33"/>
      <c r="E644" s="31"/>
      <c r="F644" s="31"/>
      <c r="G644" s="37">
        <f>IF(F644="","",IF(ISNA(MATCH(F644,'Item master'!$A$2:$A$301,0)),"Not in Item master",IFERROR(INDEX('Item master'!$B$2:$B$301,MATCH(F644,'Item master'!$A$2:$A$301,0))&amp;"","")))</f>
      </c>
      <c r="H644" s="34"/>
      <c r="I644" s="31"/>
      <c r="J644" s="31"/>
      <c r="K644" s="33"/>
      <c r="L644" s="31"/>
      <c r="M644" s="35"/>
      <c r="N644" s="30"/>
      <c r="O644" s="30"/>
      <c r="P644" s="36"/>
      <c r="Q644" s="38">
        <f>IF(OR(C644&lt;&gt;"loan",E644=""),"",IF(ISNA(MATCH(E644,Units!$A$2:$A$501,0)),"",IF(INDEX(Units!$E$2:$E$501,MATCH(E644,Units!$A$2:$A$501,0))="","",IF(K644="","No due date",IF(INT(K644)&gt;INDEX(Units!$E$2:$E$501,MATCH(E644,Units!$A$2:$A$501,0)),"Past cal date","OK")))))</f>
      </c>
      <c r="R644" s="37">
        <f>IF(A644="Overdue",K644+ROW()/10000000,"")</f>
      </c>
    </row>
    <row r="645">
      <c r="A645" s="38">
        <f>IF(C645="","",IF(B645="","Needs ID",IF(OR(C645="loan",C645="send_out"),IF(COUNTIF($L$2:$L$1001,B645)&gt;0,"Closed",IF(K645="","Open",IF(K645&lt;NOW(),"Overdue","Open"))),IF(C645="return",IF(OR(L645="",COUNTIF($B$2:$B$1001,L645)=0),"No match",IF(OR(M645="worn",M645="damaged"),"Quarantine","Returned")),IF(C645="issue","Issued",IF(C645="transfer","Moved",IF(C645="write_off","Written off",IF(C645="unfilled","Unfilled",""))))))))</f>
      </c>
      <c r="B645" s="31"/>
      <c r="C645" s="35"/>
      <c r="D645" s="33"/>
      <c r="E645" s="31"/>
      <c r="F645" s="31"/>
      <c r="G645" s="37">
        <f>IF(F645="","",IF(ISNA(MATCH(F645,'Item master'!$A$2:$A$301,0)),"Not in Item master",IFERROR(INDEX('Item master'!$B$2:$B$301,MATCH(F645,'Item master'!$A$2:$A$301,0))&amp;"","")))</f>
      </c>
      <c r="H645" s="34"/>
      <c r="I645" s="31"/>
      <c r="J645" s="31"/>
      <c r="K645" s="33"/>
      <c r="L645" s="31"/>
      <c r="M645" s="35"/>
      <c r="N645" s="30"/>
      <c r="O645" s="30"/>
      <c r="P645" s="36"/>
      <c r="Q645" s="38">
        <f>IF(OR(C645&lt;&gt;"loan",E645=""),"",IF(ISNA(MATCH(E645,Units!$A$2:$A$501,0)),"",IF(INDEX(Units!$E$2:$E$501,MATCH(E645,Units!$A$2:$A$501,0))="","",IF(K645="","No due date",IF(INT(K645)&gt;INDEX(Units!$E$2:$E$501,MATCH(E645,Units!$A$2:$A$501,0)),"Past cal date","OK")))))</f>
      </c>
      <c r="R645" s="37">
        <f>IF(A645="Overdue",K645+ROW()/10000000,"")</f>
      </c>
    </row>
    <row r="646">
      <c r="A646" s="38">
        <f>IF(C646="","",IF(B646="","Needs ID",IF(OR(C646="loan",C646="send_out"),IF(COUNTIF($L$2:$L$1001,B646)&gt;0,"Closed",IF(K646="","Open",IF(K646&lt;NOW(),"Overdue","Open"))),IF(C646="return",IF(OR(L646="",COUNTIF($B$2:$B$1001,L646)=0),"No match",IF(OR(M646="worn",M646="damaged"),"Quarantine","Returned")),IF(C646="issue","Issued",IF(C646="transfer","Moved",IF(C646="write_off","Written off",IF(C646="unfilled","Unfilled",""))))))))</f>
      </c>
      <c r="B646" s="31"/>
      <c r="C646" s="35"/>
      <c r="D646" s="33"/>
      <c r="E646" s="31"/>
      <c r="F646" s="31"/>
      <c r="G646" s="37">
        <f>IF(F646="","",IF(ISNA(MATCH(F646,'Item master'!$A$2:$A$301,0)),"Not in Item master",IFERROR(INDEX('Item master'!$B$2:$B$301,MATCH(F646,'Item master'!$A$2:$A$301,0))&amp;"","")))</f>
      </c>
      <c r="H646" s="34"/>
      <c r="I646" s="31"/>
      <c r="J646" s="31"/>
      <c r="K646" s="33"/>
      <c r="L646" s="31"/>
      <c r="M646" s="35"/>
      <c r="N646" s="30"/>
      <c r="O646" s="30"/>
      <c r="P646" s="36"/>
      <c r="Q646" s="38">
        <f>IF(OR(C646&lt;&gt;"loan",E646=""),"",IF(ISNA(MATCH(E646,Units!$A$2:$A$501,0)),"",IF(INDEX(Units!$E$2:$E$501,MATCH(E646,Units!$A$2:$A$501,0))="","",IF(K646="","No due date",IF(INT(K646)&gt;INDEX(Units!$E$2:$E$501,MATCH(E646,Units!$A$2:$A$501,0)),"Past cal date","OK")))))</f>
      </c>
      <c r="R646" s="37">
        <f>IF(A646="Overdue",K646+ROW()/10000000,"")</f>
      </c>
    </row>
    <row r="647">
      <c r="A647" s="38">
        <f>IF(C647="","",IF(B647="","Needs ID",IF(OR(C647="loan",C647="send_out"),IF(COUNTIF($L$2:$L$1001,B647)&gt;0,"Closed",IF(K647="","Open",IF(K647&lt;NOW(),"Overdue","Open"))),IF(C647="return",IF(OR(L647="",COUNTIF($B$2:$B$1001,L647)=0),"No match",IF(OR(M647="worn",M647="damaged"),"Quarantine","Returned")),IF(C647="issue","Issued",IF(C647="transfer","Moved",IF(C647="write_off","Written off",IF(C647="unfilled","Unfilled",""))))))))</f>
      </c>
      <c r="B647" s="31"/>
      <c r="C647" s="35"/>
      <c r="D647" s="33"/>
      <c r="E647" s="31"/>
      <c r="F647" s="31"/>
      <c r="G647" s="37">
        <f>IF(F647="","",IF(ISNA(MATCH(F647,'Item master'!$A$2:$A$301,0)),"Not in Item master",IFERROR(INDEX('Item master'!$B$2:$B$301,MATCH(F647,'Item master'!$A$2:$A$301,0))&amp;"","")))</f>
      </c>
      <c r="H647" s="34"/>
      <c r="I647" s="31"/>
      <c r="J647" s="31"/>
      <c r="K647" s="33"/>
      <c r="L647" s="31"/>
      <c r="M647" s="35"/>
      <c r="N647" s="30"/>
      <c r="O647" s="30"/>
      <c r="P647" s="36"/>
      <c r="Q647" s="38">
        <f>IF(OR(C647&lt;&gt;"loan",E647=""),"",IF(ISNA(MATCH(E647,Units!$A$2:$A$501,0)),"",IF(INDEX(Units!$E$2:$E$501,MATCH(E647,Units!$A$2:$A$501,0))="","",IF(K647="","No due date",IF(INT(K647)&gt;INDEX(Units!$E$2:$E$501,MATCH(E647,Units!$A$2:$A$501,0)),"Past cal date","OK")))))</f>
      </c>
      <c r="R647" s="37">
        <f>IF(A647="Overdue",K647+ROW()/10000000,"")</f>
      </c>
    </row>
    <row r="648">
      <c r="A648" s="38">
        <f>IF(C648="","",IF(B648="","Needs ID",IF(OR(C648="loan",C648="send_out"),IF(COUNTIF($L$2:$L$1001,B648)&gt;0,"Closed",IF(K648="","Open",IF(K648&lt;NOW(),"Overdue","Open"))),IF(C648="return",IF(OR(L648="",COUNTIF($B$2:$B$1001,L648)=0),"No match",IF(OR(M648="worn",M648="damaged"),"Quarantine","Returned")),IF(C648="issue","Issued",IF(C648="transfer","Moved",IF(C648="write_off","Written off",IF(C648="unfilled","Unfilled",""))))))))</f>
      </c>
      <c r="B648" s="31"/>
      <c r="C648" s="35"/>
      <c r="D648" s="33"/>
      <c r="E648" s="31"/>
      <c r="F648" s="31"/>
      <c r="G648" s="37">
        <f>IF(F648="","",IF(ISNA(MATCH(F648,'Item master'!$A$2:$A$301,0)),"Not in Item master",IFERROR(INDEX('Item master'!$B$2:$B$301,MATCH(F648,'Item master'!$A$2:$A$301,0))&amp;"","")))</f>
      </c>
      <c r="H648" s="34"/>
      <c r="I648" s="31"/>
      <c r="J648" s="31"/>
      <c r="K648" s="33"/>
      <c r="L648" s="31"/>
      <c r="M648" s="35"/>
      <c r="N648" s="30"/>
      <c r="O648" s="30"/>
      <c r="P648" s="36"/>
      <c r="Q648" s="38">
        <f>IF(OR(C648&lt;&gt;"loan",E648=""),"",IF(ISNA(MATCH(E648,Units!$A$2:$A$501,0)),"",IF(INDEX(Units!$E$2:$E$501,MATCH(E648,Units!$A$2:$A$501,0))="","",IF(K648="","No due date",IF(INT(K648)&gt;INDEX(Units!$E$2:$E$501,MATCH(E648,Units!$A$2:$A$501,0)),"Past cal date","OK")))))</f>
      </c>
      <c r="R648" s="37">
        <f>IF(A648="Overdue",K648+ROW()/10000000,"")</f>
      </c>
    </row>
    <row r="649">
      <c r="A649" s="38">
        <f>IF(C649="","",IF(B649="","Needs ID",IF(OR(C649="loan",C649="send_out"),IF(COUNTIF($L$2:$L$1001,B649)&gt;0,"Closed",IF(K649="","Open",IF(K649&lt;NOW(),"Overdue","Open"))),IF(C649="return",IF(OR(L649="",COUNTIF($B$2:$B$1001,L649)=0),"No match",IF(OR(M649="worn",M649="damaged"),"Quarantine","Returned")),IF(C649="issue","Issued",IF(C649="transfer","Moved",IF(C649="write_off","Written off",IF(C649="unfilled","Unfilled",""))))))))</f>
      </c>
      <c r="B649" s="31"/>
      <c r="C649" s="35"/>
      <c r="D649" s="33"/>
      <c r="E649" s="31"/>
      <c r="F649" s="31"/>
      <c r="G649" s="37">
        <f>IF(F649="","",IF(ISNA(MATCH(F649,'Item master'!$A$2:$A$301,0)),"Not in Item master",IFERROR(INDEX('Item master'!$B$2:$B$301,MATCH(F649,'Item master'!$A$2:$A$301,0))&amp;"","")))</f>
      </c>
      <c r="H649" s="34"/>
      <c r="I649" s="31"/>
      <c r="J649" s="31"/>
      <c r="K649" s="33"/>
      <c r="L649" s="31"/>
      <c r="M649" s="35"/>
      <c r="N649" s="30"/>
      <c r="O649" s="30"/>
      <c r="P649" s="36"/>
      <c r="Q649" s="38">
        <f>IF(OR(C649&lt;&gt;"loan",E649=""),"",IF(ISNA(MATCH(E649,Units!$A$2:$A$501,0)),"",IF(INDEX(Units!$E$2:$E$501,MATCH(E649,Units!$A$2:$A$501,0))="","",IF(K649="","No due date",IF(INT(K649)&gt;INDEX(Units!$E$2:$E$501,MATCH(E649,Units!$A$2:$A$501,0)),"Past cal date","OK")))))</f>
      </c>
      <c r="R649" s="37">
        <f>IF(A649="Overdue",K649+ROW()/10000000,"")</f>
      </c>
    </row>
    <row r="650">
      <c r="A650" s="38">
        <f>IF(C650="","",IF(B650="","Needs ID",IF(OR(C650="loan",C650="send_out"),IF(COUNTIF($L$2:$L$1001,B650)&gt;0,"Closed",IF(K650="","Open",IF(K650&lt;NOW(),"Overdue","Open"))),IF(C650="return",IF(OR(L650="",COUNTIF($B$2:$B$1001,L650)=0),"No match",IF(OR(M650="worn",M650="damaged"),"Quarantine","Returned")),IF(C650="issue","Issued",IF(C650="transfer","Moved",IF(C650="write_off","Written off",IF(C650="unfilled","Unfilled",""))))))))</f>
      </c>
      <c r="B650" s="31"/>
      <c r="C650" s="35"/>
      <c r="D650" s="33"/>
      <c r="E650" s="31"/>
      <c r="F650" s="31"/>
      <c r="G650" s="37">
        <f>IF(F650="","",IF(ISNA(MATCH(F650,'Item master'!$A$2:$A$301,0)),"Not in Item master",IFERROR(INDEX('Item master'!$B$2:$B$301,MATCH(F650,'Item master'!$A$2:$A$301,0))&amp;"","")))</f>
      </c>
      <c r="H650" s="34"/>
      <c r="I650" s="31"/>
      <c r="J650" s="31"/>
      <c r="K650" s="33"/>
      <c r="L650" s="31"/>
      <c r="M650" s="35"/>
      <c r="N650" s="30"/>
      <c r="O650" s="30"/>
      <c r="P650" s="36"/>
      <c r="Q650" s="38">
        <f>IF(OR(C650&lt;&gt;"loan",E650=""),"",IF(ISNA(MATCH(E650,Units!$A$2:$A$501,0)),"",IF(INDEX(Units!$E$2:$E$501,MATCH(E650,Units!$A$2:$A$501,0))="","",IF(K650="","No due date",IF(INT(K650)&gt;INDEX(Units!$E$2:$E$501,MATCH(E650,Units!$A$2:$A$501,0)),"Past cal date","OK")))))</f>
      </c>
      <c r="R650" s="37">
        <f>IF(A650="Overdue",K650+ROW()/10000000,"")</f>
      </c>
    </row>
    <row r="651">
      <c r="A651" s="38">
        <f>IF(C651="","",IF(B651="","Needs ID",IF(OR(C651="loan",C651="send_out"),IF(COUNTIF($L$2:$L$1001,B651)&gt;0,"Closed",IF(K651="","Open",IF(K651&lt;NOW(),"Overdue","Open"))),IF(C651="return",IF(OR(L651="",COUNTIF($B$2:$B$1001,L651)=0),"No match",IF(OR(M651="worn",M651="damaged"),"Quarantine","Returned")),IF(C651="issue","Issued",IF(C651="transfer","Moved",IF(C651="write_off","Written off",IF(C651="unfilled","Unfilled",""))))))))</f>
      </c>
      <c r="B651" s="31"/>
      <c r="C651" s="35"/>
      <c r="D651" s="33"/>
      <c r="E651" s="31"/>
      <c r="F651" s="31"/>
      <c r="G651" s="37">
        <f>IF(F651="","",IF(ISNA(MATCH(F651,'Item master'!$A$2:$A$301,0)),"Not in Item master",IFERROR(INDEX('Item master'!$B$2:$B$301,MATCH(F651,'Item master'!$A$2:$A$301,0))&amp;"","")))</f>
      </c>
      <c r="H651" s="34"/>
      <c r="I651" s="31"/>
      <c r="J651" s="31"/>
      <c r="K651" s="33"/>
      <c r="L651" s="31"/>
      <c r="M651" s="35"/>
      <c r="N651" s="30"/>
      <c r="O651" s="30"/>
      <c r="P651" s="36"/>
      <c r="Q651" s="38">
        <f>IF(OR(C651&lt;&gt;"loan",E651=""),"",IF(ISNA(MATCH(E651,Units!$A$2:$A$501,0)),"",IF(INDEX(Units!$E$2:$E$501,MATCH(E651,Units!$A$2:$A$501,0))="","",IF(K651="","No due date",IF(INT(K651)&gt;INDEX(Units!$E$2:$E$501,MATCH(E651,Units!$A$2:$A$501,0)),"Past cal date","OK")))))</f>
      </c>
      <c r="R651" s="37">
        <f>IF(A651="Overdue",K651+ROW()/10000000,"")</f>
      </c>
    </row>
    <row r="652">
      <c r="A652" s="38">
        <f>IF(C652="","",IF(B652="","Needs ID",IF(OR(C652="loan",C652="send_out"),IF(COUNTIF($L$2:$L$1001,B652)&gt;0,"Closed",IF(K652="","Open",IF(K652&lt;NOW(),"Overdue","Open"))),IF(C652="return",IF(OR(L652="",COUNTIF($B$2:$B$1001,L652)=0),"No match",IF(OR(M652="worn",M652="damaged"),"Quarantine","Returned")),IF(C652="issue","Issued",IF(C652="transfer","Moved",IF(C652="write_off","Written off",IF(C652="unfilled","Unfilled",""))))))))</f>
      </c>
      <c r="B652" s="31"/>
      <c r="C652" s="35"/>
      <c r="D652" s="33"/>
      <c r="E652" s="31"/>
      <c r="F652" s="31"/>
      <c r="G652" s="37">
        <f>IF(F652="","",IF(ISNA(MATCH(F652,'Item master'!$A$2:$A$301,0)),"Not in Item master",IFERROR(INDEX('Item master'!$B$2:$B$301,MATCH(F652,'Item master'!$A$2:$A$301,0))&amp;"","")))</f>
      </c>
      <c r="H652" s="34"/>
      <c r="I652" s="31"/>
      <c r="J652" s="31"/>
      <c r="K652" s="33"/>
      <c r="L652" s="31"/>
      <c r="M652" s="35"/>
      <c r="N652" s="30"/>
      <c r="O652" s="30"/>
      <c r="P652" s="36"/>
      <c r="Q652" s="38">
        <f>IF(OR(C652&lt;&gt;"loan",E652=""),"",IF(ISNA(MATCH(E652,Units!$A$2:$A$501,0)),"",IF(INDEX(Units!$E$2:$E$501,MATCH(E652,Units!$A$2:$A$501,0))="","",IF(K652="","No due date",IF(INT(K652)&gt;INDEX(Units!$E$2:$E$501,MATCH(E652,Units!$A$2:$A$501,0)),"Past cal date","OK")))))</f>
      </c>
      <c r="R652" s="37">
        <f>IF(A652="Overdue",K652+ROW()/10000000,"")</f>
      </c>
    </row>
    <row r="653">
      <c r="A653" s="38">
        <f>IF(C653="","",IF(B653="","Needs ID",IF(OR(C653="loan",C653="send_out"),IF(COUNTIF($L$2:$L$1001,B653)&gt;0,"Closed",IF(K653="","Open",IF(K653&lt;NOW(),"Overdue","Open"))),IF(C653="return",IF(OR(L653="",COUNTIF($B$2:$B$1001,L653)=0),"No match",IF(OR(M653="worn",M653="damaged"),"Quarantine","Returned")),IF(C653="issue","Issued",IF(C653="transfer","Moved",IF(C653="write_off","Written off",IF(C653="unfilled","Unfilled",""))))))))</f>
      </c>
      <c r="B653" s="31"/>
      <c r="C653" s="35"/>
      <c r="D653" s="33"/>
      <c r="E653" s="31"/>
      <c r="F653" s="31"/>
      <c r="G653" s="37">
        <f>IF(F653="","",IF(ISNA(MATCH(F653,'Item master'!$A$2:$A$301,0)),"Not in Item master",IFERROR(INDEX('Item master'!$B$2:$B$301,MATCH(F653,'Item master'!$A$2:$A$301,0))&amp;"","")))</f>
      </c>
      <c r="H653" s="34"/>
      <c r="I653" s="31"/>
      <c r="J653" s="31"/>
      <c r="K653" s="33"/>
      <c r="L653" s="31"/>
      <c r="M653" s="35"/>
      <c r="N653" s="30"/>
      <c r="O653" s="30"/>
      <c r="P653" s="36"/>
      <c r="Q653" s="38">
        <f>IF(OR(C653&lt;&gt;"loan",E653=""),"",IF(ISNA(MATCH(E653,Units!$A$2:$A$501,0)),"",IF(INDEX(Units!$E$2:$E$501,MATCH(E653,Units!$A$2:$A$501,0))="","",IF(K653="","No due date",IF(INT(K653)&gt;INDEX(Units!$E$2:$E$501,MATCH(E653,Units!$A$2:$A$501,0)),"Past cal date","OK")))))</f>
      </c>
      <c r="R653" s="37">
        <f>IF(A653="Overdue",K653+ROW()/10000000,"")</f>
      </c>
    </row>
    <row r="654">
      <c r="A654" s="38">
        <f>IF(C654="","",IF(B654="","Needs ID",IF(OR(C654="loan",C654="send_out"),IF(COUNTIF($L$2:$L$1001,B654)&gt;0,"Closed",IF(K654="","Open",IF(K654&lt;NOW(),"Overdue","Open"))),IF(C654="return",IF(OR(L654="",COUNTIF($B$2:$B$1001,L654)=0),"No match",IF(OR(M654="worn",M654="damaged"),"Quarantine","Returned")),IF(C654="issue","Issued",IF(C654="transfer","Moved",IF(C654="write_off","Written off",IF(C654="unfilled","Unfilled",""))))))))</f>
      </c>
      <c r="B654" s="31"/>
      <c r="C654" s="35"/>
      <c r="D654" s="33"/>
      <c r="E654" s="31"/>
      <c r="F654" s="31"/>
      <c r="G654" s="37">
        <f>IF(F654="","",IF(ISNA(MATCH(F654,'Item master'!$A$2:$A$301,0)),"Not in Item master",IFERROR(INDEX('Item master'!$B$2:$B$301,MATCH(F654,'Item master'!$A$2:$A$301,0))&amp;"","")))</f>
      </c>
      <c r="H654" s="34"/>
      <c r="I654" s="31"/>
      <c r="J654" s="31"/>
      <c r="K654" s="33"/>
      <c r="L654" s="31"/>
      <c r="M654" s="35"/>
      <c r="N654" s="30"/>
      <c r="O654" s="30"/>
      <c r="P654" s="36"/>
      <c r="Q654" s="38">
        <f>IF(OR(C654&lt;&gt;"loan",E654=""),"",IF(ISNA(MATCH(E654,Units!$A$2:$A$501,0)),"",IF(INDEX(Units!$E$2:$E$501,MATCH(E654,Units!$A$2:$A$501,0))="","",IF(K654="","No due date",IF(INT(K654)&gt;INDEX(Units!$E$2:$E$501,MATCH(E654,Units!$A$2:$A$501,0)),"Past cal date","OK")))))</f>
      </c>
      <c r="R654" s="37">
        <f>IF(A654="Overdue",K654+ROW()/10000000,"")</f>
      </c>
    </row>
    <row r="655">
      <c r="A655" s="38">
        <f>IF(C655="","",IF(B655="","Needs ID",IF(OR(C655="loan",C655="send_out"),IF(COUNTIF($L$2:$L$1001,B655)&gt;0,"Closed",IF(K655="","Open",IF(K655&lt;NOW(),"Overdue","Open"))),IF(C655="return",IF(OR(L655="",COUNTIF($B$2:$B$1001,L655)=0),"No match",IF(OR(M655="worn",M655="damaged"),"Quarantine","Returned")),IF(C655="issue","Issued",IF(C655="transfer","Moved",IF(C655="write_off","Written off",IF(C655="unfilled","Unfilled",""))))))))</f>
      </c>
      <c r="B655" s="31"/>
      <c r="C655" s="35"/>
      <c r="D655" s="33"/>
      <c r="E655" s="31"/>
      <c r="F655" s="31"/>
      <c r="G655" s="37">
        <f>IF(F655="","",IF(ISNA(MATCH(F655,'Item master'!$A$2:$A$301,0)),"Not in Item master",IFERROR(INDEX('Item master'!$B$2:$B$301,MATCH(F655,'Item master'!$A$2:$A$301,0))&amp;"","")))</f>
      </c>
      <c r="H655" s="34"/>
      <c r="I655" s="31"/>
      <c r="J655" s="31"/>
      <c r="K655" s="33"/>
      <c r="L655" s="31"/>
      <c r="M655" s="35"/>
      <c r="N655" s="30"/>
      <c r="O655" s="30"/>
      <c r="P655" s="36"/>
      <c r="Q655" s="38">
        <f>IF(OR(C655&lt;&gt;"loan",E655=""),"",IF(ISNA(MATCH(E655,Units!$A$2:$A$501,0)),"",IF(INDEX(Units!$E$2:$E$501,MATCH(E655,Units!$A$2:$A$501,0))="","",IF(K655="","No due date",IF(INT(K655)&gt;INDEX(Units!$E$2:$E$501,MATCH(E655,Units!$A$2:$A$501,0)),"Past cal date","OK")))))</f>
      </c>
      <c r="R655" s="37">
        <f>IF(A655="Overdue",K655+ROW()/10000000,"")</f>
      </c>
    </row>
    <row r="656">
      <c r="A656" s="38">
        <f>IF(C656="","",IF(B656="","Needs ID",IF(OR(C656="loan",C656="send_out"),IF(COUNTIF($L$2:$L$1001,B656)&gt;0,"Closed",IF(K656="","Open",IF(K656&lt;NOW(),"Overdue","Open"))),IF(C656="return",IF(OR(L656="",COUNTIF($B$2:$B$1001,L656)=0),"No match",IF(OR(M656="worn",M656="damaged"),"Quarantine","Returned")),IF(C656="issue","Issued",IF(C656="transfer","Moved",IF(C656="write_off","Written off",IF(C656="unfilled","Unfilled",""))))))))</f>
      </c>
      <c r="B656" s="31"/>
      <c r="C656" s="35"/>
      <c r="D656" s="33"/>
      <c r="E656" s="31"/>
      <c r="F656" s="31"/>
      <c r="G656" s="37">
        <f>IF(F656="","",IF(ISNA(MATCH(F656,'Item master'!$A$2:$A$301,0)),"Not in Item master",IFERROR(INDEX('Item master'!$B$2:$B$301,MATCH(F656,'Item master'!$A$2:$A$301,0))&amp;"","")))</f>
      </c>
      <c r="H656" s="34"/>
      <c r="I656" s="31"/>
      <c r="J656" s="31"/>
      <c r="K656" s="33"/>
      <c r="L656" s="31"/>
      <c r="M656" s="35"/>
      <c r="N656" s="30"/>
      <c r="O656" s="30"/>
      <c r="P656" s="36"/>
      <c r="Q656" s="38">
        <f>IF(OR(C656&lt;&gt;"loan",E656=""),"",IF(ISNA(MATCH(E656,Units!$A$2:$A$501,0)),"",IF(INDEX(Units!$E$2:$E$501,MATCH(E656,Units!$A$2:$A$501,0))="","",IF(K656="","No due date",IF(INT(K656)&gt;INDEX(Units!$E$2:$E$501,MATCH(E656,Units!$A$2:$A$501,0)),"Past cal date","OK")))))</f>
      </c>
      <c r="R656" s="37">
        <f>IF(A656="Overdue",K656+ROW()/10000000,"")</f>
      </c>
    </row>
    <row r="657">
      <c r="A657" s="38">
        <f>IF(C657="","",IF(B657="","Needs ID",IF(OR(C657="loan",C657="send_out"),IF(COUNTIF($L$2:$L$1001,B657)&gt;0,"Closed",IF(K657="","Open",IF(K657&lt;NOW(),"Overdue","Open"))),IF(C657="return",IF(OR(L657="",COUNTIF($B$2:$B$1001,L657)=0),"No match",IF(OR(M657="worn",M657="damaged"),"Quarantine","Returned")),IF(C657="issue","Issued",IF(C657="transfer","Moved",IF(C657="write_off","Written off",IF(C657="unfilled","Unfilled",""))))))))</f>
      </c>
      <c r="B657" s="31"/>
      <c r="C657" s="35"/>
      <c r="D657" s="33"/>
      <c r="E657" s="31"/>
      <c r="F657" s="31"/>
      <c r="G657" s="37">
        <f>IF(F657="","",IF(ISNA(MATCH(F657,'Item master'!$A$2:$A$301,0)),"Not in Item master",IFERROR(INDEX('Item master'!$B$2:$B$301,MATCH(F657,'Item master'!$A$2:$A$301,0))&amp;"","")))</f>
      </c>
      <c r="H657" s="34"/>
      <c r="I657" s="31"/>
      <c r="J657" s="31"/>
      <c r="K657" s="33"/>
      <c r="L657" s="31"/>
      <c r="M657" s="35"/>
      <c r="N657" s="30"/>
      <c r="O657" s="30"/>
      <c r="P657" s="36"/>
      <c r="Q657" s="38">
        <f>IF(OR(C657&lt;&gt;"loan",E657=""),"",IF(ISNA(MATCH(E657,Units!$A$2:$A$501,0)),"",IF(INDEX(Units!$E$2:$E$501,MATCH(E657,Units!$A$2:$A$501,0))="","",IF(K657="","No due date",IF(INT(K657)&gt;INDEX(Units!$E$2:$E$501,MATCH(E657,Units!$A$2:$A$501,0)),"Past cal date","OK")))))</f>
      </c>
      <c r="R657" s="37">
        <f>IF(A657="Overdue",K657+ROW()/10000000,"")</f>
      </c>
    </row>
    <row r="658">
      <c r="A658" s="38">
        <f>IF(C658="","",IF(B658="","Needs ID",IF(OR(C658="loan",C658="send_out"),IF(COUNTIF($L$2:$L$1001,B658)&gt;0,"Closed",IF(K658="","Open",IF(K658&lt;NOW(),"Overdue","Open"))),IF(C658="return",IF(OR(L658="",COUNTIF($B$2:$B$1001,L658)=0),"No match",IF(OR(M658="worn",M658="damaged"),"Quarantine","Returned")),IF(C658="issue","Issued",IF(C658="transfer","Moved",IF(C658="write_off","Written off",IF(C658="unfilled","Unfilled",""))))))))</f>
      </c>
      <c r="B658" s="31"/>
      <c r="C658" s="35"/>
      <c r="D658" s="33"/>
      <c r="E658" s="31"/>
      <c r="F658" s="31"/>
      <c r="G658" s="37">
        <f>IF(F658="","",IF(ISNA(MATCH(F658,'Item master'!$A$2:$A$301,0)),"Not in Item master",IFERROR(INDEX('Item master'!$B$2:$B$301,MATCH(F658,'Item master'!$A$2:$A$301,0))&amp;"","")))</f>
      </c>
      <c r="H658" s="34"/>
      <c r="I658" s="31"/>
      <c r="J658" s="31"/>
      <c r="K658" s="33"/>
      <c r="L658" s="31"/>
      <c r="M658" s="35"/>
      <c r="N658" s="30"/>
      <c r="O658" s="30"/>
      <c r="P658" s="36"/>
      <c r="Q658" s="38">
        <f>IF(OR(C658&lt;&gt;"loan",E658=""),"",IF(ISNA(MATCH(E658,Units!$A$2:$A$501,0)),"",IF(INDEX(Units!$E$2:$E$501,MATCH(E658,Units!$A$2:$A$501,0))="","",IF(K658="","No due date",IF(INT(K658)&gt;INDEX(Units!$E$2:$E$501,MATCH(E658,Units!$A$2:$A$501,0)),"Past cal date","OK")))))</f>
      </c>
      <c r="R658" s="37">
        <f>IF(A658="Overdue",K658+ROW()/10000000,"")</f>
      </c>
    </row>
    <row r="659">
      <c r="A659" s="38">
        <f>IF(C659="","",IF(B659="","Needs ID",IF(OR(C659="loan",C659="send_out"),IF(COUNTIF($L$2:$L$1001,B659)&gt;0,"Closed",IF(K659="","Open",IF(K659&lt;NOW(),"Overdue","Open"))),IF(C659="return",IF(OR(L659="",COUNTIF($B$2:$B$1001,L659)=0),"No match",IF(OR(M659="worn",M659="damaged"),"Quarantine","Returned")),IF(C659="issue","Issued",IF(C659="transfer","Moved",IF(C659="write_off","Written off",IF(C659="unfilled","Unfilled",""))))))))</f>
      </c>
      <c r="B659" s="31"/>
      <c r="C659" s="35"/>
      <c r="D659" s="33"/>
      <c r="E659" s="31"/>
      <c r="F659" s="31"/>
      <c r="G659" s="37">
        <f>IF(F659="","",IF(ISNA(MATCH(F659,'Item master'!$A$2:$A$301,0)),"Not in Item master",IFERROR(INDEX('Item master'!$B$2:$B$301,MATCH(F659,'Item master'!$A$2:$A$301,0))&amp;"","")))</f>
      </c>
      <c r="H659" s="34"/>
      <c r="I659" s="31"/>
      <c r="J659" s="31"/>
      <c r="K659" s="33"/>
      <c r="L659" s="31"/>
      <c r="M659" s="35"/>
      <c r="N659" s="30"/>
      <c r="O659" s="30"/>
      <c r="P659" s="36"/>
      <c r="Q659" s="38">
        <f>IF(OR(C659&lt;&gt;"loan",E659=""),"",IF(ISNA(MATCH(E659,Units!$A$2:$A$501,0)),"",IF(INDEX(Units!$E$2:$E$501,MATCH(E659,Units!$A$2:$A$501,0))="","",IF(K659="","No due date",IF(INT(K659)&gt;INDEX(Units!$E$2:$E$501,MATCH(E659,Units!$A$2:$A$501,0)),"Past cal date","OK")))))</f>
      </c>
      <c r="R659" s="37">
        <f>IF(A659="Overdue",K659+ROW()/10000000,"")</f>
      </c>
    </row>
    <row r="660">
      <c r="A660" s="38">
        <f>IF(C660="","",IF(B660="","Needs ID",IF(OR(C660="loan",C660="send_out"),IF(COUNTIF($L$2:$L$1001,B660)&gt;0,"Closed",IF(K660="","Open",IF(K660&lt;NOW(),"Overdue","Open"))),IF(C660="return",IF(OR(L660="",COUNTIF($B$2:$B$1001,L660)=0),"No match",IF(OR(M660="worn",M660="damaged"),"Quarantine","Returned")),IF(C660="issue","Issued",IF(C660="transfer","Moved",IF(C660="write_off","Written off",IF(C660="unfilled","Unfilled",""))))))))</f>
      </c>
      <c r="B660" s="31"/>
      <c r="C660" s="35"/>
      <c r="D660" s="33"/>
      <c r="E660" s="31"/>
      <c r="F660" s="31"/>
      <c r="G660" s="37">
        <f>IF(F660="","",IF(ISNA(MATCH(F660,'Item master'!$A$2:$A$301,0)),"Not in Item master",IFERROR(INDEX('Item master'!$B$2:$B$301,MATCH(F660,'Item master'!$A$2:$A$301,0))&amp;"","")))</f>
      </c>
      <c r="H660" s="34"/>
      <c r="I660" s="31"/>
      <c r="J660" s="31"/>
      <c r="K660" s="33"/>
      <c r="L660" s="31"/>
      <c r="M660" s="35"/>
      <c r="N660" s="30"/>
      <c r="O660" s="30"/>
      <c r="P660" s="36"/>
      <c r="Q660" s="38">
        <f>IF(OR(C660&lt;&gt;"loan",E660=""),"",IF(ISNA(MATCH(E660,Units!$A$2:$A$501,0)),"",IF(INDEX(Units!$E$2:$E$501,MATCH(E660,Units!$A$2:$A$501,0))="","",IF(K660="","No due date",IF(INT(K660)&gt;INDEX(Units!$E$2:$E$501,MATCH(E660,Units!$A$2:$A$501,0)),"Past cal date","OK")))))</f>
      </c>
      <c r="R660" s="37">
        <f>IF(A660="Overdue",K660+ROW()/10000000,"")</f>
      </c>
    </row>
    <row r="661">
      <c r="A661" s="38">
        <f>IF(C661="","",IF(B661="","Needs ID",IF(OR(C661="loan",C661="send_out"),IF(COUNTIF($L$2:$L$1001,B661)&gt;0,"Closed",IF(K661="","Open",IF(K661&lt;NOW(),"Overdue","Open"))),IF(C661="return",IF(OR(L661="",COUNTIF($B$2:$B$1001,L661)=0),"No match",IF(OR(M661="worn",M661="damaged"),"Quarantine","Returned")),IF(C661="issue","Issued",IF(C661="transfer","Moved",IF(C661="write_off","Written off",IF(C661="unfilled","Unfilled",""))))))))</f>
      </c>
      <c r="B661" s="31"/>
      <c r="C661" s="35"/>
      <c r="D661" s="33"/>
      <c r="E661" s="31"/>
      <c r="F661" s="31"/>
      <c r="G661" s="37">
        <f>IF(F661="","",IF(ISNA(MATCH(F661,'Item master'!$A$2:$A$301,0)),"Not in Item master",IFERROR(INDEX('Item master'!$B$2:$B$301,MATCH(F661,'Item master'!$A$2:$A$301,0))&amp;"","")))</f>
      </c>
      <c r="H661" s="34"/>
      <c r="I661" s="31"/>
      <c r="J661" s="31"/>
      <c r="K661" s="33"/>
      <c r="L661" s="31"/>
      <c r="M661" s="35"/>
      <c r="N661" s="30"/>
      <c r="O661" s="30"/>
      <c r="P661" s="36"/>
      <c r="Q661" s="38">
        <f>IF(OR(C661&lt;&gt;"loan",E661=""),"",IF(ISNA(MATCH(E661,Units!$A$2:$A$501,0)),"",IF(INDEX(Units!$E$2:$E$501,MATCH(E661,Units!$A$2:$A$501,0))="","",IF(K661="","No due date",IF(INT(K661)&gt;INDEX(Units!$E$2:$E$501,MATCH(E661,Units!$A$2:$A$501,0)),"Past cal date","OK")))))</f>
      </c>
      <c r="R661" s="37">
        <f>IF(A661="Overdue",K661+ROW()/10000000,"")</f>
      </c>
    </row>
    <row r="662">
      <c r="A662" s="38">
        <f>IF(C662="","",IF(B662="","Needs ID",IF(OR(C662="loan",C662="send_out"),IF(COUNTIF($L$2:$L$1001,B662)&gt;0,"Closed",IF(K662="","Open",IF(K662&lt;NOW(),"Overdue","Open"))),IF(C662="return",IF(OR(L662="",COUNTIF($B$2:$B$1001,L662)=0),"No match",IF(OR(M662="worn",M662="damaged"),"Quarantine","Returned")),IF(C662="issue","Issued",IF(C662="transfer","Moved",IF(C662="write_off","Written off",IF(C662="unfilled","Unfilled",""))))))))</f>
      </c>
      <c r="B662" s="31"/>
      <c r="C662" s="35"/>
      <c r="D662" s="33"/>
      <c r="E662" s="31"/>
      <c r="F662" s="31"/>
      <c r="G662" s="37">
        <f>IF(F662="","",IF(ISNA(MATCH(F662,'Item master'!$A$2:$A$301,0)),"Not in Item master",IFERROR(INDEX('Item master'!$B$2:$B$301,MATCH(F662,'Item master'!$A$2:$A$301,0))&amp;"","")))</f>
      </c>
      <c r="H662" s="34"/>
      <c r="I662" s="31"/>
      <c r="J662" s="31"/>
      <c r="K662" s="33"/>
      <c r="L662" s="31"/>
      <c r="M662" s="35"/>
      <c r="N662" s="30"/>
      <c r="O662" s="30"/>
      <c r="P662" s="36"/>
      <c r="Q662" s="38">
        <f>IF(OR(C662&lt;&gt;"loan",E662=""),"",IF(ISNA(MATCH(E662,Units!$A$2:$A$501,0)),"",IF(INDEX(Units!$E$2:$E$501,MATCH(E662,Units!$A$2:$A$501,0))="","",IF(K662="","No due date",IF(INT(K662)&gt;INDEX(Units!$E$2:$E$501,MATCH(E662,Units!$A$2:$A$501,0)),"Past cal date","OK")))))</f>
      </c>
      <c r="R662" s="37">
        <f>IF(A662="Overdue",K662+ROW()/10000000,"")</f>
      </c>
    </row>
    <row r="663">
      <c r="A663" s="38">
        <f>IF(C663="","",IF(B663="","Needs ID",IF(OR(C663="loan",C663="send_out"),IF(COUNTIF($L$2:$L$1001,B663)&gt;0,"Closed",IF(K663="","Open",IF(K663&lt;NOW(),"Overdue","Open"))),IF(C663="return",IF(OR(L663="",COUNTIF($B$2:$B$1001,L663)=0),"No match",IF(OR(M663="worn",M663="damaged"),"Quarantine","Returned")),IF(C663="issue","Issued",IF(C663="transfer","Moved",IF(C663="write_off","Written off",IF(C663="unfilled","Unfilled",""))))))))</f>
      </c>
      <c r="B663" s="31"/>
      <c r="C663" s="35"/>
      <c r="D663" s="33"/>
      <c r="E663" s="31"/>
      <c r="F663" s="31"/>
      <c r="G663" s="37">
        <f>IF(F663="","",IF(ISNA(MATCH(F663,'Item master'!$A$2:$A$301,0)),"Not in Item master",IFERROR(INDEX('Item master'!$B$2:$B$301,MATCH(F663,'Item master'!$A$2:$A$301,0))&amp;"","")))</f>
      </c>
      <c r="H663" s="34"/>
      <c r="I663" s="31"/>
      <c r="J663" s="31"/>
      <c r="K663" s="33"/>
      <c r="L663" s="31"/>
      <c r="M663" s="35"/>
      <c r="N663" s="30"/>
      <c r="O663" s="30"/>
      <c r="P663" s="36"/>
      <c r="Q663" s="38">
        <f>IF(OR(C663&lt;&gt;"loan",E663=""),"",IF(ISNA(MATCH(E663,Units!$A$2:$A$501,0)),"",IF(INDEX(Units!$E$2:$E$501,MATCH(E663,Units!$A$2:$A$501,0))="","",IF(K663="","No due date",IF(INT(K663)&gt;INDEX(Units!$E$2:$E$501,MATCH(E663,Units!$A$2:$A$501,0)),"Past cal date","OK")))))</f>
      </c>
      <c r="R663" s="37">
        <f>IF(A663="Overdue",K663+ROW()/10000000,"")</f>
      </c>
    </row>
    <row r="664">
      <c r="A664" s="38">
        <f>IF(C664="","",IF(B664="","Needs ID",IF(OR(C664="loan",C664="send_out"),IF(COUNTIF($L$2:$L$1001,B664)&gt;0,"Closed",IF(K664="","Open",IF(K664&lt;NOW(),"Overdue","Open"))),IF(C664="return",IF(OR(L664="",COUNTIF($B$2:$B$1001,L664)=0),"No match",IF(OR(M664="worn",M664="damaged"),"Quarantine","Returned")),IF(C664="issue","Issued",IF(C664="transfer","Moved",IF(C664="write_off","Written off",IF(C664="unfilled","Unfilled",""))))))))</f>
      </c>
      <c r="B664" s="31"/>
      <c r="C664" s="35"/>
      <c r="D664" s="33"/>
      <c r="E664" s="31"/>
      <c r="F664" s="31"/>
      <c r="G664" s="37">
        <f>IF(F664="","",IF(ISNA(MATCH(F664,'Item master'!$A$2:$A$301,0)),"Not in Item master",IFERROR(INDEX('Item master'!$B$2:$B$301,MATCH(F664,'Item master'!$A$2:$A$301,0))&amp;"","")))</f>
      </c>
      <c r="H664" s="34"/>
      <c r="I664" s="31"/>
      <c r="J664" s="31"/>
      <c r="K664" s="33"/>
      <c r="L664" s="31"/>
      <c r="M664" s="35"/>
      <c r="N664" s="30"/>
      <c r="O664" s="30"/>
      <c r="P664" s="36"/>
      <c r="Q664" s="38">
        <f>IF(OR(C664&lt;&gt;"loan",E664=""),"",IF(ISNA(MATCH(E664,Units!$A$2:$A$501,0)),"",IF(INDEX(Units!$E$2:$E$501,MATCH(E664,Units!$A$2:$A$501,0))="","",IF(K664="","No due date",IF(INT(K664)&gt;INDEX(Units!$E$2:$E$501,MATCH(E664,Units!$A$2:$A$501,0)),"Past cal date","OK")))))</f>
      </c>
      <c r="R664" s="37">
        <f>IF(A664="Overdue",K664+ROW()/10000000,"")</f>
      </c>
    </row>
    <row r="665">
      <c r="A665" s="38">
        <f>IF(C665="","",IF(B665="","Needs ID",IF(OR(C665="loan",C665="send_out"),IF(COUNTIF($L$2:$L$1001,B665)&gt;0,"Closed",IF(K665="","Open",IF(K665&lt;NOW(),"Overdue","Open"))),IF(C665="return",IF(OR(L665="",COUNTIF($B$2:$B$1001,L665)=0),"No match",IF(OR(M665="worn",M665="damaged"),"Quarantine","Returned")),IF(C665="issue","Issued",IF(C665="transfer","Moved",IF(C665="write_off","Written off",IF(C665="unfilled","Unfilled",""))))))))</f>
      </c>
      <c r="B665" s="31"/>
      <c r="C665" s="35"/>
      <c r="D665" s="33"/>
      <c r="E665" s="31"/>
      <c r="F665" s="31"/>
      <c r="G665" s="37">
        <f>IF(F665="","",IF(ISNA(MATCH(F665,'Item master'!$A$2:$A$301,0)),"Not in Item master",IFERROR(INDEX('Item master'!$B$2:$B$301,MATCH(F665,'Item master'!$A$2:$A$301,0))&amp;"","")))</f>
      </c>
      <c r="H665" s="34"/>
      <c r="I665" s="31"/>
      <c r="J665" s="31"/>
      <c r="K665" s="33"/>
      <c r="L665" s="31"/>
      <c r="M665" s="35"/>
      <c r="N665" s="30"/>
      <c r="O665" s="30"/>
      <c r="P665" s="36"/>
      <c r="Q665" s="38">
        <f>IF(OR(C665&lt;&gt;"loan",E665=""),"",IF(ISNA(MATCH(E665,Units!$A$2:$A$501,0)),"",IF(INDEX(Units!$E$2:$E$501,MATCH(E665,Units!$A$2:$A$501,0))="","",IF(K665="","No due date",IF(INT(K665)&gt;INDEX(Units!$E$2:$E$501,MATCH(E665,Units!$A$2:$A$501,0)),"Past cal date","OK")))))</f>
      </c>
      <c r="R665" s="37">
        <f>IF(A665="Overdue",K665+ROW()/10000000,"")</f>
      </c>
    </row>
    <row r="666">
      <c r="A666" s="38">
        <f>IF(C666="","",IF(B666="","Needs ID",IF(OR(C666="loan",C666="send_out"),IF(COUNTIF($L$2:$L$1001,B666)&gt;0,"Closed",IF(K666="","Open",IF(K666&lt;NOW(),"Overdue","Open"))),IF(C666="return",IF(OR(L666="",COUNTIF($B$2:$B$1001,L666)=0),"No match",IF(OR(M666="worn",M666="damaged"),"Quarantine","Returned")),IF(C666="issue","Issued",IF(C666="transfer","Moved",IF(C666="write_off","Written off",IF(C666="unfilled","Unfilled",""))))))))</f>
      </c>
      <c r="B666" s="31"/>
      <c r="C666" s="35"/>
      <c r="D666" s="33"/>
      <c r="E666" s="31"/>
      <c r="F666" s="31"/>
      <c r="G666" s="37">
        <f>IF(F666="","",IF(ISNA(MATCH(F666,'Item master'!$A$2:$A$301,0)),"Not in Item master",IFERROR(INDEX('Item master'!$B$2:$B$301,MATCH(F666,'Item master'!$A$2:$A$301,0))&amp;"","")))</f>
      </c>
      <c r="H666" s="34"/>
      <c r="I666" s="31"/>
      <c r="J666" s="31"/>
      <c r="K666" s="33"/>
      <c r="L666" s="31"/>
      <c r="M666" s="35"/>
      <c r="N666" s="30"/>
      <c r="O666" s="30"/>
      <c r="P666" s="36"/>
      <c r="Q666" s="38">
        <f>IF(OR(C666&lt;&gt;"loan",E666=""),"",IF(ISNA(MATCH(E666,Units!$A$2:$A$501,0)),"",IF(INDEX(Units!$E$2:$E$501,MATCH(E666,Units!$A$2:$A$501,0))="","",IF(K666="","No due date",IF(INT(K666)&gt;INDEX(Units!$E$2:$E$501,MATCH(E666,Units!$A$2:$A$501,0)),"Past cal date","OK")))))</f>
      </c>
      <c r="R666" s="37">
        <f>IF(A666="Overdue",K666+ROW()/10000000,"")</f>
      </c>
    </row>
    <row r="667">
      <c r="A667" s="38">
        <f>IF(C667="","",IF(B667="","Needs ID",IF(OR(C667="loan",C667="send_out"),IF(COUNTIF($L$2:$L$1001,B667)&gt;0,"Closed",IF(K667="","Open",IF(K667&lt;NOW(),"Overdue","Open"))),IF(C667="return",IF(OR(L667="",COUNTIF($B$2:$B$1001,L667)=0),"No match",IF(OR(M667="worn",M667="damaged"),"Quarantine","Returned")),IF(C667="issue","Issued",IF(C667="transfer","Moved",IF(C667="write_off","Written off",IF(C667="unfilled","Unfilled",""))))))))</f>
      </c>
      <c r="B667" s="31"/>
      <c r="C667" s="35"/>
      <c r="D667" s="33"/>
      <c r="E667" s="31"/>
      <c r="F667" s="31"/>
      <c r="G667" s="37">
        <f>IF(F667="","",IF(ISNA(MATCH(F667,'Item master'!$A$2:$A$301,0)),"Not in Item master",IFERROR(INDEX('Item master'!$B$2:$B$301,MATCH(F667,'Item master'!$A$2:$A$301,0))&amp;"","")))</f>
      </c>
      <c r="H667" s="34"/>
      <c r="I667" s="31"/>
      <c r="J667" s="31"/>
      <c r="K667" s="33"/>
      <c r="L667" s="31"/>
      <c r="M667" s="35"/>
      <c r="N667" s="30"/>
      <c r="O667" s="30"/>
      <c r="P667" s="36"/>
      <c r="Q667" s="38">
        <f>IF(OR(C667&lt;&gt;"loan",E667=""),"",IF(ISNA(MATCH(E667,Units!$A$2:$A$501,0)),"",IF(INDEX(Units!$E$2:$E$501,MATCH(E667,Units!$A$2:$A$501,0))="","",IF(K667="","No due date",IF(INT(K667)&gt;INDEX(Units!$E$2:$E$501,MATCH(E667,Units!$A$2:$A$501,0)),"Past cal date","OK")))))</f>
      </c>
      <c r="R667" s="37">
        <f>IF(A667="Overdue",K667+ROW()/10000000,"")</f>
      </c>
    </row>
    <row r="668">
      <c r="A668" s="38">
        <f>IF(C668="","",IF(B668="","Needs ID",IF(OR(C668="loan",C668="send_out"),IF(COUNTIF($L$2:$L$1001,B668)&gt;0,"Closed",IF(K668="","Open",IF(K668&lt;NOW(),"Overdue","Open"))),IF(C668="return",IF(OR(L668="",COUNTIF($B$2:$B$1001,L668)=0),"No match",IF(OR(M668="worn",M668="damaged"),"Quarantine","Returned")),IF(C668="issue","Issued",IF(C668="transfer","Moved",IF(C668="write_off","Written off",IF(C668="unfilled","Unfilled",""))))))))</f>
      </c>
      <c r="B668" s="31"/>
      <c r="C668" s="35"/>
      <c r="D668" s="33"/>
      <c r="E668" s="31"/>
      <c r="F668" s="31"/>
      <c r="G668" s="37">
        <f>IF(F668="","",IF(ISNA(MATCH(F668,'Item master'!$A$2:$A$301,0)),"Not in Item master",IFERROR(INDEX('Item master'!$B$2:$B$301,MATCH(F668,'Item master'!$A$2:$A$301,0))&amp;"","")))</f>
      </c>
      <c r="H668" s="34"/>
      <c r="I668" s="31"/>
      <c r="J668" s="31"/>
      <c r="K668" s="33"/>
      <c r="L668" s="31"/>
      <c r="M668" s="35"/>
      <c r="N668" s="30"/>
      <c r="O668" s="30"/>
      <c r="P668" s="36"/>
      <c r="Q668" s="38">
        <f>IF(OR(C668&lt;&gt;"loan",E668=""),"",IF(ISNA(MATCH(E668,Units!$A$2:$A$501,0)),"",IF(INDEX(Units!$E$2:$E$501,MATCH(E668,Units!$A$2:$A$501,0))="","",IF(K668="","No due date",IF(INT(K668)&gt;INDEX(Units!$E$2:$E$501,MATCH(E668,Units!$A$2:$A$501,0)),"Past cal date","OK")))))</f>
      </c>
      <c r="R668" s="37">
        <f>IF(A668="Overdue",K668+ROW()/10000000,"")</f>
      </c>
    </row>
    <row r="669">
      <c r="A669" s="38">
        <f>IF(C669="","",IF(B669="","Needs ID",IF(OR(C669="loan",C669="send_out"),IF(COUNTIF($L$2:$L$1001,B669)&gt;0,"Closed",IF(K669="","Open",IF(K669&lt;NOW(),"Overdue","Open"))),IF(C669="return",IF(OR(L669="",COUNTIF($B$2:$B$1001,L669)=0),"No match",IF(OR(M669="worn",M669="damaged"),"Quarantine","Returned")),IF(C669="issue","Issued",IF(C669="transfer","Moved",IF(C669="write_off","Written off",IF(C669="unfilled","Unfilled",""))))))))</f>
      </c>
      <c r="B669" s="31"/>
      <c r="C669" s="35"/>
      <c r="D669" s="33"/>
      <c r="E669" s="31"/>
      <c r="F669" s="31"/>
      <c r="G669" s="37">
        <f>IF(F669="","",IF(ISNA(MATCH(F669,'Item master'!$A$2:$A$301,0)),"Not in Item master",IFERROR(INDEX('Item master'!$B$2:$B$301,MATCH(F669,'Item master'!$A$2:$A$301,0))&amp;"","")))</f>
      </c>
      <c r="H669" s="34"/>
      <c r="I669" s="31"/>
      <c r="J669" s="31"/>
      <c r="K669" s="33"/>
      <c r="L669" s="31"/>
      <c r="M669" s="35"/>
      <c r="N669" s="30"/>
      <c r="O669" s="30"/>
      <c r="P669" s="36"/>
      <c r="Q669" s="38">
        <f>IF(OR(C669&lt;&gt;"loan",E669=""),"",IF(ISNA(MATCH(E669,Units!$A$2:$A$501,0)),"",IF(INDEX(Units!$E$2:$E$501,MATCH(E669,Units!$A$2:$A$501,0))="","",IF(K669="","No due date",IF(INT(K669)&gt;INDEX(Units!$E$2:$E$501,MATCH(E669,Units!$A$2:$A$501,0)),"Past cal date","OK")))))</f>
      </c>
      <c r="R669" s="37">
        <f>IF(A669="Overdue",K669+ROW()/10000000,"")</f>
      </c>
    </row>
    <row r="670">
      <c r="A670" s="38">
        <f>IF(C670="","",IF(B670="","Needs ID",IF(OR(C670="loan",C670="send_out"),IF(COUNTIF($L$2:$L$1001,B670)&gt;0,"Closed",IF(K670="","Open",IF(K670&lt;NOW(),"Overdue","Open"))),IF(C670="return",IF(OR(L670="",COUNTIF($B$2:$B$1001,L670)=0),"No match",IF(OR(M670="worn",M670="damaged"),"Quarantine","Returned")),IF(C670="issue","Issued",IF(C670="transfer","Moved",IF(C670="write_off","Written off",IF(C670="unfilled","Unfilled",""))))))))</f>
      </c>
      <c r="B670" s="31"/>
      <c r="C670" s="35"/>
      <c r="D670" s="33"/>
      <c r="E670" s="31"/>
      <c r="F670" s="31"/>
      <c r="G670" s="37">
        <f>IF(F670="","",IF(ISNA(MATCH(F670,'Item master'!$A$2:$A$301,0)),"Not in Item master",IFERROR(INDEX('Item master'!$B$2:$B$301,MATCH(F670,'Item master'!$A$2:$A$301,0))&amp;"","")))</f>
      </c>
      <c r="H670" s="34"/>
      <c r="I670" s="31"/>
      <c r="J670" s="31"/>
      <c r="K670" s="33"/>
      <c r="L670" s="31"/>
      <c r="M670" s="35"/>
      <c r="N670" s="30"/>
      <c r="O670" s="30"/>
      <c r="P670" s="36"/>
      <c r="Q670" s="38">
        <f>IF(OR(C670&lt;&gt;"loan",E670=""),"",IF(ISNA(MATCH(E670,Units!$A$2:$A$501,0)),"",IF(INDEX(Units!$E$2:$E$501,MATCH(E670,Units!$A$2:$A$501,0))="","",IF(K670="","No due date",IF(INT(K670)&gt;INDEX(Units!$E$2:$E$501,MATCH(E670,Units!$A$2:$A$501,0)),"Past cal date","OK")))))</f>
      </c>
      <c r="R670" s="37">
        <f>IF(A670="Overdue",K670+ROW()/10000000,"")</f>
      </c>
    </row>
    <row r="671">
      <c r="A671" s="38">
        <f>IF(C671="","",IF(B671="","Needs ID",IF(OR(C671="loan",C671="send_out"),IF(COUNTIF($L$2:$L$1001,B671)&gt;0,"Closed",IF(K671="","Open",IF(K671&lt;NOW(),"Overdue","Open"))),IF(C671="return",IF(OR(L671="",COUNTIF($B$2:$B$1001,L671)=0),"No match",IF(OR(M671="worn",M671="damaged"),"Quarantine","Returned")),IF(C671="issue","Issued",IF(C671="transfer","Moved",IF(C671="write_off","Written off",IF(C671="unfilled","Unfilled",""))))))))</f>
      </c>
      <c r="B671" s="31"/>
      <c r="C671" s="35"/>
      <c r="D671" s="33"/>
      <c r="E671" s="31"/>
      <c r="F671" s="31"/>
      <c r="G671" s="37">
        <f>IF(F671="","",IF(ISNA(MATCH(F671,'Item master'!$A$2:$A$301,0)),"Not in Item master",IFERROR(INDEX('Item master'!$B$2:$B$301,MATCH(F671,'Item master'!$A$2:$A$301,0))&amp;"","")))</f>
      </c>
      <c r="H671" s="34"/>
      <c r="I671" s="31"/>
      <c r="J671" s="31"/>
      <c r="K671" s="33"/>
      <c r="L671" s="31"/>
      <c r="M671" s="35"/>
      <c r="N671" s="30"/>
      <c r="O671" s="30"/>
      <c r="P671" s="36"/>
      <c r="Q671" s="38">
        <f>IF(OR(C671&lt;&gt;"loan",E671=""),"",IF(ISNA(MATCH(E671,Units!$A$2:$A$501,0)),"",IF(INDEX(Units!$E$2:$E$501,MATCH(E671,Units!$A$2:$A$501,0))="","",IF(K671="","No due date",IF(INT(K671)&gt;INDEX(Units!$E$2:$E$501,MATCH(E671,Units!$A$2:$A$501,0)),"Past cal date","OK")))))</f>
      </c>
      <c r="R671" s="37">
        <f>IF(A671="Overdue",K671+ROW()/10000000,"")</f>
      </c>
    </row>
    <row r="672">
      <c r="A672" s="38">
        <f>IF(C672="","",IF(B672="","Needs ID",IF(OR(C672="loan",C672="send_out"),IF(COUNTIF($L$2:$L$1001,B672)&gt;0,"Closed",IF(K672="","Open",IF(K672&lt;NOW(),"Overdue","Open"))),IF(C672="return",IF(OR(L672="",COUNTIF($B$2:$B$1001,L672)=0),"No match",IF(OR(M672="worn",M672="damaged"),"Quarantine","Returned")),IF(C672="issue","Issued",IF(C672="transfer","Moved",IF(C672="write_off","Written off",IF(C672="unfilled","Unfilled",""))))))))</f>
      </c>
      <c r="B672" s="31"/>
      <c r="C672" s="35"/>
      <c r="D672" s="33"/>
      <c r="E672" s="31"/>
      <c r="F672" s="31"/>
      <c r="G672" s="37">
        <f>IF(F672="","",IF(ISNA(MATCH(F672,'Item master'!$A$2:$A$301,0)),"Not in Item master",IFERROR(INDEX('Item master'!$B$2:$B$301,MATCH(F672,'Item master'!$A$2:$A$301,0))&amp;"","")))</f>
      </c>
      <c r="H672" s="34"/>
      <c r="I672" s="31"/>
      <c r="J672" s="31"/>
      <c r="K672" s="33"/>
      <c r="L672" s="31"/>
      <c r="M672" s="35"/>
      <c r="N672" s="30"/>
      <c r="O672" s="30"/>
      <c r="P672" s="36"/>
      <c r="Q672" s="38">
        <f>IF(OR(C672&lt;&gt;"loan",E672=""),"",IF(ISNA(MATCH(E672,Units!$A$2:$A$501,0)),"",IF(INDEX(Units!$E$2:$E$501,MATCH(E672,Units!$A$2:$A$501,0))="","",IF(K672="","No due date",IF(INT(K672)&gt;INDEX(Units!$E$2:$E$501,MATCH(E672,Units!$A$2:$A$501,0)),"Past cal date","OK")))))</f>
      </c>
      <c r="R672" s="37">
        <f>IF(A672="Overdue",K672+ROW()/10000000,"")</f>
      </c>
    </row>
    <row r="673">
      <c r="A673" s="38">
        <f>IF(C673="","",IF(B673="","Needs ID",IF(OR(C673="loan",C673="send_out"),IF(COUNTIF($L$2:$L$1001,B673)&gt;0,"Closed",IF(K673="","Open",IF(K673&lt;NOW(),"Overdue","Open"))),IF(C673="return",IF(OR(L673="",COUNTIF($B$2:$B$1001,L673)=0),"No match",IF(OR(M673="worn",M673="damaged"),"Quarantine","Returned")),IF(C673="issue","Issued",IF(C673="transfer","Moved",IF(C673="write_off","Written off",IF(C673="unfilled","Unfilled",""))))))))</f>
      </c>
      <c r="B673" s="31"/>
      <c r="C673" s="35"/>
      <c r="D673" s="33"/>
      <c r="E673" s="31"/>
      <c r="F673" s="31"/>
      <c r="G673" s="37">
        <f>IF(F673="","",IF(ISNA(MATCH(F673,'Item master'!$A$2:$A$301,0)),"Not in Item master",IFERROR(INDEX('Item master'!$B$2:$B$301,MATCH(F673,'Item master'!$A$2:$A$301,0))&amp;"","")))</f>
      </c>
      <c r="H673" s="34"/>
      <c r="I673" s="31"/>
      <c r="J673" s="31"/>
      <c r="K673" s="33"/>
      <c r="L673" s="31"/>
      <c r="M673" s="35"/>
      <c r="N673" s="30"/>
      <c r="O673" s="30"/>
      <c r="P673" s="36"/>
      <c r="Q673" s="38">
        <f>IF(OR(C673&lt;&gt;"loan",E673=""),"",IF(ISNA(MATCH(E673,Units!$A$2:$A$501,0)),"",IF(INDEX(Units!$E$2:$E$501,MATCH(E673,Units!$A$2:$A$501,0))="","",IF(K673="","No due date",IF(INT(K673)&gt;INDEX(Units!$E$2:$E$501,MATCH(E673,Units!$A$2:$A$501,0)),"Past cal date","OK")))))</f>
      </c>
      <c r="R673" s="37">
        <f>IF(A673="Overdue",K673+ROW()/10000000,"")</f>
      </c>
    </row>
    <row r="674">
      <c r="A674" s="38">
        <f>IF(C674="","",IF(B674="","Needs ID",IF(OR(C674="loan",C674="send_out"),IF(COUNTIF($L$2:$L$1001,B674)&gt;0,"Closed",IF(K674="","Open",IF(K674&lt;NOW(),"Overdue","Open"))),IF(C674="return",IF(OR(L674="",COUNTIF($B$2:$B$1001,L674)=0),"No match",IF(OR(M674="worn",M674="damaged"),"Quarantine","Returned")),IF(C674="issue","Issued",IF(C674="transfer","Moved",IF(C674="write_off","Written off",IF(C674="unfilled","Unfilled",""))))))))</f>
      </c>
      <c r="B674" s="31"/>
      <c r="C674" s="35"/>
      <c r="D674" s="33"/>
      <c r="E674" s="31"/>
      <c r="F674" s="31"/>
      <c r="G674" s="37">
        <f>IF(F674="","",IF(ISNA(MATCH(F674,'Item master'!$A$2:$A$301,0)),"Not in Item master",IFERROR(INDEX('Item master'!$B$2:$B$301,MATCH(F674,'Item master'!$A$2:$A$301,0))&amp;"","")))</f>
      </c>
      <c r="H674" s="34"/>
      <c r="I674" s="31"/>
      <c r="J674" s="31"/>
      <c r="K674" s="33"/>
      <c r="L674" s="31"/>
      <c r="M674" s="35"/>
      <c r="N674" s="30"/>
      <c r="O674" s="30"/>
      <c r="P674" s="36"/>
      <c r="Q674" s="38">
        <f>IF(OR(C674&lt;&gt;"loan",E674=""),"",IF(ISNA(MATCH(E674,Units!$A$2:$A$501,0)),"",IF(INDEX(Units!$E$2:$E$501,MATCH(E674,Units!$A$2:$A$501,0))="","",IF(K674="","No due date",IF(INT(K674)&gt;INDEX(Units!$E$2:$E$501,MATCH(E674,Units!$A$2:$A$501,0)),"Past cal date","OK")))))</f>
      </c>
      <c r="R674" s="37">
        <f>IF(A674="Overdue",K674+ROW()/10000000,"")</f>
      </c>
    </row>
    <row r="675">
      <c r="A675" s="38">
        <f>IF(C675="","",IF(B675="","Needs ID",IF(OR(C675="loan",C675="send_out"),IF(COUNTIF($L$2:$L$1001,B675)&gt;0,"Closed",IF(K675="","Open",IF(K675&lt;NOW(),"Overdue","Open"))),IF(C675="return",IF(OR(L675="",COUNTIF($B$2:$B$1001,L675)=0),"No match",IF(OR(M675="worn",M675="damaged"),"Quarantine","Returned")),IF(C675="issue","Issued",IF(C675="transfer","Moved",IF(C675="write_off","Written off",IF(C675="unfilled","Unfilled",""))))))))</f>
      </c>
      <c r="B675" s="31"/>
      <c r="C675" s="35"/>
      <c r="D675" s="33"/>
      <c r="E675" s="31"/>
      <c r="F675" s="31"/>
      <c r="G675" s="37">
        <f>IF(F675="","",IF(ISNA(MATCH(F675,'Item master'!$A$2:$A$301,0)),"Not in Item master",IFERROR(INDEX('Item master'!$B$2:$B$301,MATCH(F675,'Item master'!$A$2:$A$301,0))&amp;"","")))</f>
      </c>
      <c r="H675" s="34"/>
      <c r="I675" s="31"/>
      <c r="J675" s="31"/>
      <c r="K675" s="33"/>
      <c r="L675" s="31"/>
      <c r="M675" s="35"/>
      <c r="N675" s="30"/>
      <c r="O675" s="30"/>
      <c r="P675" s="36"/>
      <c r="Q675" s="38">
        <f>IF(OR(C675&lt;&gt;"loan",E675=""),"",IF(ISNA(MATCH(E675,Units!$A$2:$A$501,0)),"",IF(INDEX(Units!$E$2:$E$501,MATCH(E675,Units!$A$2:$A$501,0))="","",IF(K675="","No due date",IF(INT(K675)&gt;INDEX(Units!$E$2:$E$501,MATCH(E675,Units!$A$2:$A$501,0)),"Past cal date","OK")))))</f>
      </c>
      <c r="R675" s="37">
        <f>IF(A675="Overdue",K675+ROW()/10000000,"")</f>
      </c>
    </row>
    <row r="676">
      <c r="A676" s="38">
        <f>IF(C676="","",IF(B676="","Needs ID",IF(OR(C676="loan",C676="send_out"),IF(COUNTIF($L$2:$L$1001,B676)&gt;0,"Closed",IF(K676="","Open",IF(K676&lt;NOW(),"Overdue","Open"))),IF(C676="return",IF(OR(L676="",COUNTIF($B$2:$B$1001,L676)=0),"No match",IF(OR(M676="worn",M676="damaged"),"Quarantine","Returned")),IF(C676="issue","Issued",IF(C676="transfer","Moved",IF(C676="write_off","Written off",IF(C676="unfilled","Unfilled",""))))))))</f>
      </c>
      <c r="B676" s="31"/>
      <c r="C676" s="35"/>
      <c r="D676" s="33"/>
      <c r="E676" s="31"/>
      <c r="F676" s="31"/>
      <c r="G676" s="37">
        <f>IF(F676="","",IF(ISNA(MATCH(F676,'Item master'!$A$2:$A$301,0)),"Not in Item master",IFERROR(INDEX('Item master'!$B$2:$B$301,MATCH(F676,'Item master'!$A$2:$A$301,0))&amp;"","")))</f>
      </c>
      <c r="H676" s="34"/>
      <c r="I676" s="31"/>
      <c r="J676" s="31"/>
      <c r="K676" s="33"/>
      <c r="L676" s="31"/>
      <c r="M676" s="35"/>
      <c r="N676" s="30"/>
      <c r="O676" s="30"/>
      <c r="P676" s="36"/>
      <c r="Q676" s="38">
        <f>IF(OR(C676&lt;&gt;"loan",E676=""),"",IF(ISNA(MATCH(E676,Units!$A$2:$A$501,0)),"",IF(INDEX(Units!$E$2:$E$501,MATCH(E676,Units!$A$2:$A$501,0))="","",IF(K676="","No due date",IF(INT(K676)&gt;INDEX(Units!$E$2:$E$501,MATCH(E676,Units!$A$2:$A$501,0)),"Past cal date","OK")))))</f>
      </c>
      <c r="R676" s="37">
        <f>IF(A676="Overdue",K676+ROW()/10000000,"")</f>
      </c>
    </row>
    <row r="677">
      <c r="A677" s="38">
        <f>IF(C677="","",IF(B677="","Needs ID",IF(OR(C677="loan",C677="send_out"),IF(COUNTIF($L$2:$L$1001,B677)&gt;0,"Closed",IF(K677="","Open",IF(K677&lt;NOW(),"Overdue","Open"))),IF(C677="return",IF(OR(L677="",COUNTIF($B$2:$B$1001,L677)=0),"No match",IF(OR(M677="worn",M677="damaged"),"Quarantine","Returned")),IF(C677="issue","Issued",IF(C677="transfer","Moved",IF(C677="write_off","Written off",IF(C677="unfilled","Unfilled",""))))))))</f>
      </c>
      <c r="B677" s="31"/>
      <c r="C677" s="35"/>
      <c r="D677" s="33"/>
      <c r="E677" s="31"/>
      <c r="F677" s="31"/>
      <c r="G677" s="37">
        <f>IF(F677="","",IF(ISNA(MATCH(F677,'Item master'!$A$2:$A$301,0)),"Not in Item master",IFERROR(INDEX('Item master'!$B$2:$B$301,MATCH(F677,'Item master'!$A$2:$A$301,0))&amp;"","")))</f>
      </c>
      <c r="H677" s="34"/>
      <c r="I677" s="31"/>
      <c r="J677" s="31"/>
      <c r="K677" s="33"/>
      <c r="L677" s="31"/>
      <c r="M677" s="35"/>
      <c r="N677" s="30"/>
      <c r="O677" s="30"/>
      <c r="P677" s="36"/>
      <c r="Q677" s="38">
        <f>IF(OR(C677&lt;&gt;"loan",E677=""),"",IF(ISNA(MATCH(E677,Units!$A$2:$A$501,0)),"",IF(INDEX(Units!$E$2:$E$501,MATCH(E677,Units!$A$2:$A$501,0))="","",IF(K677="","No due date",IF(INT(K677)&gt;INDEX(Units!$E$2:$E$501,MATCH(E677,Units!$A$2:$A$501,0)),"Past cal date","OK")))))</f>
      </c>
      <c r="R677" s="37">
        <f>IF(A677="Overdue",K677+ROW()/10000000,"")</f>
      </c>
    </row>
    <row r="678">
      <c r="A678" s="38">
        <f>IF(C678="","",IF(B678="","Needs ID",IF(OR(C678="loan",C678="send_out"),IF(COUNTIF($L$2:$L$1001,B678)&gt;0,"Closed",IF(K678="","Open",IF(K678&lt;NOW(),"Overdue","Open"))),IF(C678="return",IF(OR(L678="",COUNTIF($B$2:$B$1001,L678)=0),"No match",IF(OR(M678="worn",M678="damaged"),"Quarantine","Returned")),IF(C678="issue","Issued",IF(C678="transfer","Moved",IF(C678="write_off","Written off",IF(C678="unfilled","Unfilled",""))))))))</f>
      </c>
      <c r="B678" s="31"/>
      <c r="C678" s="35"/>
      <c r="D678" s="33"/>
      <c r="E678" s="31"/>
      <c r="F678" s="31"/>
      <c r="G678" s="37">
        <f>IF(F678="","",IF(ISNA(MATCH(F678,'Item master'!$A$2:$A$301,0)),"Not in Item master",IFERROR(INDEX('Item master'!$B$2:$B$301,MATCH(F678,'Item master'!$A$2:$A$301,0))&amp;"","")))</f>
      </c>
      <c r="H678" s="34"/>
      <c r="I678" s="31"/>
      <c r="J678" s="31"/>
      <c r="K678" s="33"/>
      <c r="L678" s="31"/>
      <c r="M678" s="35"/>
      <c r="N678" s="30"/>
      <c r="O678" s="30"/>
      <c r="P678" s="36"/>
      <c r="Q678" s="38">
        <f>IF(OR(C678&lt;&gt;"loan",E678=""),"",IF(ISNA(MATCH(E678,Units!$A$2:$A$501,0)),"",IF(INDEX(Units!$E$2:$E$501,MATCH(E678,Units!$A$2:$A$501,0))="","",IF(K678="","No due date",IF(INT(K678)&gt;INDEX(Units!$E$2:$E$501,MATCH(E678,Units!$A$2:$A$501,0)),"Past cal date","OK")))))</f>
      </c>
      <c r="R678" s="37">
        <f>IF(A678="Overdue",K678+ROW()/10000000,"")</f>
      </c>
    </row>
    <row r="679">
      <c r="A679" s="38">
        <f>IF(C679="","",IF(B679="","Needs ID",IF(OR(C679="loan",C679="send_out"),IF(COUNTIF($L$2:$L$1001,B679)&gt;0,"Closed",IF(K679="","Open",IF(K679&lt;NOW(),"Overdue","Open"))),IF(C679="return",IF(OR(L679="",COUNTIF($B$2:$B$1001,L679)=0),"No match",IF(OR(M679="worn",M679="damaged"),"Quarantine","Returned")),IF(C679="issue","Issued",IF(C679="transfer","Moved",IF(C679="write_off","Written off",IF(C679="unfilled","Unfilled",""))))))))</f>
      </c>
      <c r="B679" s="31"/>
      <c r="C679" s="35"/>
      <c r="D679" s="33"/>
      <c r="E679" s="31"/>
      <c r="F679" s="31"/>
      <c r="G679" s="37">
        <f>IF(F679="","",IF(ISNA(MATCH(F679,'Item master'!$A$2:$A$301,0)),"Not in Item master",IFERROR(INDEX('Item master'!$B$2:$B$301,MATCH(F679,'Item master'!$A$2:$A$301,0))&amp;"","")))</f>
      </c>
      <c r="H679" s="34"/>
      <c r="I679" s="31"/>
      <c r="J679" s="31"/>
      <c r="K679" s="33"/>
      <c r="L679" s="31"/>
      <c r="M679" s="35"/>
      <c r="N679" s="30"/>
      <c r="O679" s="30"/>
      <c r="P679" s="36"/>
      <c r="Q679" s="38">
        <f>IF(OR(C679&lt;&gt;"loan",E679=""),"",IF(ISNA(MATCH(E679,Units!$A$2:$A$501,0)),"",IF(INDEX(Units!$E$2:$E$501,MATCH(E679,Units!$A$2:$A$501,0))="","",IF(K679="","No due date",IF(INT(K679)&gt;INDEX(Units!$E$2:$E$501,MATCH(E679,Units!$A$2:$A$501,0)),"Past cal date","OK")))))</f>
      </c>
      <c r="R679" s="37">
        <f>IF(A679="Overdue",K679+ROW()/10000000,"")</f>
      </c>
    </row>
    <row r="680">
      <c r="A680" s="38">
        <f>IF(C680="","",IF(B680="","Needs ID",IF(OR(C680="loan",C680="send_out"),IF(COUNTIF($L$2:$L$1001,B680)&gt;0,"Closed",IF(K680="","Open",IF(K680&lt;NOW(),"Overdue","Open"))),IF(C680="return",IF(OR(L680="",COUNTIF($B$2:$B$1001,L680)=0),"No match",IF(OR(M680="worn",M680="damaged"),"Quarantine","Returned")),IF(C680="issue","Issued",IF(C680="transfer","Moved",IF(C680="write_off","Written off",IF(C680="unfilled","Unfilled",""))))))))</f>
      </c>
      <c r="B680" s="31"/>
      <c r="C680" s="35"/>
      <c r="D680" s="33"/>
      <c r="E680" s="31"/>
      <c r="F680" s="31"/>
      <c r="G680" s="37">
        <f>IF(F680="","",IF(ISNA(MATCH(F680,'Item master'!$A$2:$A$301,0)),"Not in Item master",IFERROR(INDEX('Item master'!$B$2:$B$301,MATCH(F680,'Item master'!$A$2:$A$301,0))&amp;"","")))</f>
      </c>
      <c r="H680" s="34"/>
      <c r="I680" s="31"/>
      <c r="J680" s="31"/>
      <c r="K680" s="33"/>
      <c r="L680" s="31"/>
      <c r="M680" s="35"/>
      <c r="N680" s="30"/>
      <c r="O680" s="30"/>
      <c r="P680" s="36"/>
      <c r="Q680" s="38">
        <f>IF(OR(C680&lt;&gt;"loan",E680=""),"",IF(ISNA(MATCH(E680,Units!$A$2:$A$501,0)),"",IF(INDEX(Units!$E$2:$E$501,MATCH(E680,Units!$A$2:$A$501,0))="","",IF(K680="","No due date",IF(INT(K680)&gt;INDEX(Units!$E$2:$E$501,MATCH(E680,Units!$A$2:$A$501,0)),"Past cal date","OK")))))</f>
      </c>
      <c r="R680" s="37">
        <f>IF(A680="Overdue",K680+ROW()/10000000,"")</f>
      </c>
    </row>
    <row r="681">
      <c r="A681" s="38">
        <f>IF(C681="","",IF(B681="","Needs ID",IF(OR(C681="loan",C681="send_out"),IF(COUNTIF($L$2:$L$1001,B681)&gt;0,"Closed",IF(K681="","Open",IF(K681&lt;NOW(),"Overdue","Open"))),IF(C681="return",IF(OR(L681="",COUNTIF($B$2:$B$1001,L681)=0),"No match",IF(OR(M681="worn",M681="damaged"),"Quarantine","Returned")),IF(C681="issue","Issued",IF(C681="transfer","Moved",IF(C681="write_off","Written off",IF(C681="unfilled","Unfilled",""))))))))</f>
      </c>
      <c r="B681" s="31"/>
      <c r="C681" s="35"/>
      <c r="D681" s="33"/>
      <c r="E681" s="31"/>
      <c r="F681" s="31"/>
      <c r="G681" s="37">
        <f>IF(F681="","",IF(ISNA(MATCH(F681,'Item master'!$A$2:$A$301,0)),"Not in Item master",IFERROR(INDEX('Item master'!$B$2:$B$301,MATCH(F681,'Item master'!$A$2:$A$301,0))&amp;"","")))</f>
      </c>
      <c r="H681" s="34"/>
      <c r="I681" s="31"/>
      <c r="J681" s="31"/>
      <c r="K681" s="33"/>
      <c r="L681" s="31"/>
      <c r="M681" s="35"/>
      <c r="N681" s="30"/>
      <c r="O681" s="30"/>
      <c r="P681" s="36"/>
      <c r="Q681" s="38">
        <f>IF(OR(C681&lt;&gt;"loan",E681=""),"",IF(ISNA(MATCH(E681,Units!$A$2:$A$501,0)),"",IF(INDEX(Units!$E$2:$E$501,MATCH(E681,Units!$A$2:$A$501,0))="","",IF(K681="","No due date",IF(INT(K681)&gt;INDEX(Units!$E$2:$E$501,MATCH(E681,Units!$A$2:$A$501,0)),"Past cal date","OK")))))</f>
      </c>
      <c r="R681" s="37">
        <f>IF(A681="Overdue",K681+ROW()/10000000,"")</f>
      </c>
    </row>
    <row r="682">
      <c r="A682" s="38">
        <f>IF(C682="","",IF(B682="","Needs ID",IF(OR(C682="loan",C682="send_out"),IF(COUNTIF($L$2:$L$1001,B682)&gt;0,"Closed",IF(K682="","Open",IF(K682&lt;NOW(),"Overdue","Open"))),IF(C682="return",IF(OR(L682="",COUNTIF($B$2:$B$1001,L682)=0),"No match",IF(OR(M682="worn",M682="damaged"),"Quarantine","Returned")),IF(C682="issue","Issued",IF(C682="transfer","Moved",IF(C682="write_off","Written off",IF(C682="unfilled","Unfilled",""))))))))</f>
      </c>
      <c r="B682" s="31"/>
      <c r="C682" s="35"/>
      <c r="D682" s="33"/>
      <c r="E682" s="31"/>
      <c r="F682" s="31"/>
      <c r="G682" s="37">
        <f>IF(F682="","",IF(ISNA(MATCH(F682,'Item master'!$A$2:$A$301,0)),"Not in Item master",IFERROR(INDEX('Item master'!$B$2:$B$301,MATCH(F682,'Item master'!$A$2:$A$301,0))&amp;"","")))</f>
      </c>
      <c r="H682" s="34"/>
      <c r="I682" s="31"/>
      <c r="J682" s="31"/>
      <c r="K682" s="33"/>
      <c r="L682" s="31"/>
      <c r="M682" s="35"/>
      <c r="N682" s="30"/>
      <c r="O682" s="30"/>
      <c r="P682" s="36"/>
      <c r="Q682" s="38">
        <f>IF(OR(C682&lt;&gt;"loan",E682=""),"",IF(ISNA(MATCH(E682,Units!$A$2:$A$501,0)),"",IF(INDEX(Units!$E$2:$E$501,MATCH(E682,Units!$A$2:$A$501,0))="","",IF(K682="","No due date",IF(INT(K682)&gt;INDEX(Units!$E$2:$E$501,MATCH(E682,Units!$A$2:$A$501,0)),"Past cal date","OK")))))</f>
      </c>
      <c r="R682" s="37">
        <f>IF(A682="Overdue",K682+ROW()/10000000,"")</f>
      </c>
    </row>
    <row r="683">
      <c r="A683" s="38">
        <f>IF(C683="","",IF(B683="","Needs ID",IF(OR(C683="loan",C683="send_out"),IF(COUNTIF($L$2:$L$1001,B683)&gt;0,"Closed",IF(K683="","Open",IF(K683&lt;NOW(),"Overdue","Open"))),IF(C683="return",IF(OR(L683="",COUNTIF($B$2:$B$1001,L683)=0),"No match",IF(OR(M683="worn",M683="damaged"),"Quarantine","Returned")),IF(C683="issue","Issued",IF(C683="transfer","Moved",IF(C683="write_off","Written off",IF(C683="unfilled","Unfilled",""))))))))</f>
      </c>
      <c r="B683" s="31"/>
      <c r="C683" s="35"/>
      <c r="D683" s="33"/>
      <c r="E683" s="31"/>
      <c r="F683" s="31"/>
      <c r="G683" s="37">
        <f>IF(F683="","",IF(ISNA(MATCH(F683,'Item master'!$A$2:$A$301,0)),"Not in Item master",IFERROR(INDEX('Item master'!$B$2:$B$301,MATCH(F683,'Item master'!$A$2:$A$301,0))&amp;"","")))</f>
      </c>
      <c r="H683" s="34"/>
      <c r="I683" s="31"/>
      <c r="J683" s="31"/>
      <c r="K683" s="33"/>
      <c r="L683" s="31"/>
      <c r="M683" s="35"/>
      <c r="N683" s="30"/>
      <c r="O683" s="30"/>
      <c r="P683" s="36"/>
      <c r="Q683" s="38">
        <f>IF(OR(C683&lt;&gt;"loan",E683=""),"",IF(ISNA(MATCH(E683,Units!$A$2:$A$501,0)),"",IF(INDEX(Units!$E$2:$E$501,MATCH(E683,Units!$A$2:$A$501,0))="","",IF(K683="","No due date",IF(INT(K683)&gt;INDEX(Units!$E$2:$E$501,MATCH(E683,Units!$A$2:$A$501,0)),"Past cal date","OK")))))</f>
      </c>
      <c r="R683" s="37">
        <f>IF(A683="Overdue",K683+ROW()/10000000,"")</f>
      </c>
    </row>
    <row r="684">
      <c r="A684" s="38">
        <f>IF(C684="","",IF(B684="","Needs ID",IF(OR(C684="loan",C684="send_out"),IF(COUNTIF($L$2:$L$1001,B684)&gt;0,"Closed",IF(K684="","Open",IF(K684&lt;NOW(),"Overdue","Open"))),IF(C684="return",IF(OR(L684="",COUNTIF($B$2:$B$1001,L684)=0),"No match",IF(OR(M684="worn",M684="damaged"),"Quarantine","Returned")),IF(C684="issue","Issued",IF(C684="transfer","Moved",IF(C684="write_off","Written off",IF(C684="unfilled","Unfilled",""))))))))</f>
      </c>
      <c r="B684" s="31"/>
      <c r="C684" s="35"/>
      <c r="D684" s="33"/>
      <c r="E684" s="31"/>
      <c r="F684" s="31"/>
      <c r="G684" s="37">
        <f>IF(F684="","",IF(ISNA(MATCH(F684,'Item master'!$A$2:$A$301,0)),"Not in Item master",IFERROR(INDEX('Item master'!$B$2:$B$301,MATCH(F684,'Item master'!$A$2:$A$301,0))&amp;"","")))</f>
      </c>
      <c r="H684" s="34"/>
      <c r="I684" s="31"/>
      <c r="J684" s="31"/>
      <c r="K684" s="33"/>
      <c r="L684" s="31"/>
      <c r="M684" s="35"/>
      <c r="N684" s="30"/>
      <c r="O684" s="30"/>
      <c r="P684" s="36"/>
      <c r="Q684" s="38">
        <f>IF(OR(C684&lt;&gt;"loan",E684=""),"",IF(ISNA(MATCH(E684,Units!$A$2:$A$501,0)),"",IF(INDEX(Units!$E$2:$E$501,MATCH(E684,Units!$A$2:$A$501,0))="","",IF(K684="","No due date",IF(INT(K684)&gt;INDEX(Units!$E$2:$E$501,MATCH(E684,Units!$A$2:$A$501,0)),"Past cal date","OK")))))</f>
      </c>
      <c r="R684" s="37">
        <f>IF(A684="Overdue",K684+ROW()/10000000,"")</f>
      </c>
    </row>
    <row r="685">
      <c r="A685" s="38">
        <f>IF(C685="","",IF(B685="","Needs ID",IF(OR(C685="loan",C685="send_out"),IF(COUNTIF($L$2:$L$1001,B685)&gt;0,"Closed",IF(K685="","Open",IF(K685&lt;NOW(),"Overdue","Open"))),IF(C685="return",IF(OR(L685="",COUNTIF($B$2:$B$1001,L685)=0),"No match",IF(OR(M685="worn",M685="damaged"),"Quarantine","Returned")),IF(C685="issue","Issued",IF(C685="transfer","Moved",IF(C685="write_off","Written off",IF(C685="unfilled","Unfilled",""))))))))</f>
      </c>
      <c r="B685" s="31"/>
      <c r="C685" s="35"/>
      <c r="D685" s="33"/>
      <c r="E685" s="31"/>
      <c r="F685" s="31"/>
      <c r="G685" s="37">
        <f>IF(F685="","",IF(ISNA(MATCH(F685,'Item master'!$A$2:$A$301,0)),"Not in Item master",IFERROR(INDEX('Item master'!$B$2:$B$301,MATCH(F685,'Item master'!$A$2:$A$301,0))&amp;"","")))</f>
      </c>
      <c r="H685" s="34"/>
      <c r="I685" s="31"/>
      <c r="J685" s="31"/>
      <c r="K685" s="33"/>
      <c r="L685" s="31"/>
      <c r="M685" s="35"/>
      <c r="N685" s="30"/>
      <c r="O685" s="30"/>
      <c r="P685" s="36"/>
      <c r="Q685" s="38">
        <f>IF(OR(C685&lt;&gt;"loan",E685=""),"",IF(ISNA(MATCH(E685,Units!$A$2:$A$501,0)),"",IF(INDEX(Units!$E$2:$E$501,MATCH(E685,Units!$A$2:$A$501,0))="","",IF(K685="","No due date",IF(INT(K685)&gt;INDEX(Units!$E$2:$E$501,MATCH(E685,Units!$A$2:$A$501,0)),"Past cal date","OK")))))</f>
      </c>
      <c r="R685" s="37">
        <f>IF(A685="Overdue",K685+ROW()/10000000,"")</f>
      </c>
    </row>
    <row r="686">
      <c r="A686" s="38">
        <f>IF(C686="","",IF(B686="","Needs ID",IF(OR(C686="loan",C686="send_out"),IF(COUNTIF($L$2:$L$1001,B686)&gt;0,"Closed",IF(K686="","Open",IF(K686&lt;NOW(),"Overdue","Open"))),IF(C686="return",IF(OR(L686="",COUNTIF($B$2:$B$1001,L686)=0),"No match",IF(OR(M686="worn",M686="damaged"),"Quarantine","Returned")),IF(C686="issue","Issued",IF(C686="transfer","Moved",IF(C686="write_off","Written off",IF(C686="unfilled","Unfilled",""))))))))</f>
      </c>
      <c r="B686" s="31"/>
      <c r="C686" s="35"/>
      <c r="D686" s="33"/>
      <c r="E686" s="31"/>
      <c r="F686" s="31"/>
      <c r="G686" s="37">
        <f>IF(F686="","",IF(ISNA(MATCH(F686,'Item master'!$A$2:$A$301,0)),"Not in Item master",IFERROR(INDEX('Item master'!$B$2:$B$301,MATCH(F686,'Item master'!$A$2:$A$301,0))&amp;"","")))</f>
      </c>
      <c r="H686" s="34"/>
      <c r="I686" s="31"/>
      <c r="J686" s="31"/>
      <c r="K686" s="33"/>
      <c r="L686" s="31"/>
      <c r="M686" s="35"/>
      <c r="N686" s="30"/>
      <c r="O686" s="30"/>
      <c r="P686" s="36"/>
      <c r="Q686" s="38">
        <f>IF(OR(C686&lt;&gt;"loan",E686=""),"",IF(ISNA(MATCH(E686,Units!$A$2:$A$501,0)),"",IF(INDEX(Units!$E$2:$E$501,MATCH(E686,Units!$A$2:$A$501,0))="","",IF(K686="","No due date",IF(INT(K686)&gt;INDEX(Units!$E$2:$E$501,MATCH(E686,Units!$A$2:$A$501,0)),"Past cal date","OK")))))</f>
      </c>
      <c r="R686" s="37">
        <f>IF(A686="Overdue",K686+ROW()/10000000,"")</f>
      </c>
    </row>
    <row r="687">
      <c r="A687" s="38">
        <f>IF(C687="","",IF(B687="","Needs ID",IF(OR(C687="loan",C687="send_out"),IF(COUNTIF($L$2:$L$1001,B687)&gt;0,"Closed",IF(K687="","Open",IF(K687&lt;NOW(),"Overdue","Open"))),IF(C687="return",IF(OR(L687="",COUNTIF($B$2:$B$1001,L687)=0),"No match",IF(OR(M687="worn",M687="damaged"),"Quarantine","Returned")),IF(C687="issue","Issued",IF(C687="transfer","Moved",IF(C687="write_off","Written off",IF(C687="unfilled","Unfilled",""))))))))</f>
      </c>
      <c r="B687" s="31"/>
      <c r="C687" s="35"/>
      <c r="D687" s="33"/>
      <c r="E687" s="31"/>
      <c r="F687" s="31"/>
      <c r="G687" s="37">
        <f>IF(F687="","",IF(ISNA(MATCH(F687,'Item master'!$A$2:$A$301,0)),"Not in Item master",IFERROR(INDEX('Item master'!$B$2:$B$301,MATCH(F687,'Item master'!$A$2:$A$301,0))&amp;"","")))</f>
      </c>
      <c r="H687" s="34"/>
      <c r="I687" s="31"/>
      <c r="J687" s="31"/>
      <c r="K687" s="33"/>
      <c r="L687" s="31"/>
      <c r="M687" s="35"/>
      <c r="N687" s="30"/>
      <c r="O687" s="30"/>
      <c r="P687" s="36"/>
      <c r="Q687" s="38">
        <f>IF(OR(C687&lt;&gt;"loan",E687=""),"",IF(ISNA(MATCH(E687,Units!$A$2:$A$501,0)),"",IF(INDEX(Units!$E$2:$E$501,MATCH(E687,Units!$A$2:$A$501,0))="","",IF(K687="","No due date",IF(INT(K687)&gt;INDEX(Units!$E$2:$E$501,MATCH(E687,Units!$A$2:$A$501,0)),"Past cal date","OK")))))</f>
      </c>
      <c r="R687" s="37">
        <f>IF(A687="Overdue",K687+ROW()/10000000,"")</f>
      </c>
    </row>
    <row r="688">
      <c r="A688" s="38">
        <f>IF(C688="","",IF(B688="","Needs ID",IF(OR(C688="loan",C688="send_out"),IF(COUNTIF($L$2:$L$1001,B688)&gt;0,"Closed",IF(K688="","Open",IF(K688&lt;NOW(),"Overdue","Open"))),IF(C688="return",IF(OR(L688="",COUNTIF($B$2:$B$1001,L688)=0),"No match",IF(OR(M688="worn",M688="damaged"),"Quarantine","Returned")),IF(C688="issue","Issued",IF(C688="transfer","Moved",IF(C688="write_off","Written off",IF(C688="unfilled","Unfilled",""))))))))</f>
      </c>
      <c r="B688" s="31"/>
      <c r="C688" s="35"/>
      <c r="D688" s="33"/>
      <c r="E688" s="31"/>
      <c r="F688" s="31"/>
      <c r="G688" s="37">
        <f>IF(F688="","",IF(ISNA(MATCH(F688,'Item master'!$A$2:$A$301,0)),"Not in Item master",IFERROR(INDEX('Item master'!$B$2:$B$301,MATCH(F688,'Item master'!$A$2:$A$301,0))&amp;"","")))</f>
      </c>
      <c r="H688" s="34"/>
      <c r="I688" s="31"/>
      <c r="J688" s="31"/>
      <c r="K688" s="33"/>
      <c r="L688" s="31"/>
      <c r="M688" s="35"/>
      <c r="N688" s="30"/>
      <c r="O688" s="30"/>
      <c r="P688" s="36"/>
      <c r="Q688" s="38">
        <f>IF(OR(C688&lt;&gt;"loan",E688=""),"",IF(ISNA(MATCH(E688,Units!$A$2:$A$501,0)),"",IF(INDEX(Units!$E$2:$E$501,MATCH(E688,Units!$A$2:$A$501,0))="","",IF(K688="","No due date",IF(INT(K688)&gt;INDEX(Units!$E$2:$E$501,MATCH(E688,Units!$A$2:$A$501,0)),"Past cal date","OK")))))</f>
      </c>
      <c r="R688" s="37">
        <f>IF(A688="Overdue",K688+ROW()/10000000,"")</f>
      </c>
    </row>
    <row r="689">
      <c r="A689" s="38">
        <f>IF(C689="","",IF(B689="","Needs ID",IF(OR(C689="loan",C689="send_out"),IF(COUNTIF($L$2:$L$1001,B689)&gt;0,"Closed",IF(K689="","Open",IF(K689&lt;NOW(),"Overdue","Open"))),IF(C689="return",IF(OR(L689="",COUNTIF($B$2:$B$1001,L689)=0),"No match",IF(OR(M689="worn",M689="damaged"),"Quarantine","Returned")),IF(C689="issue","Issued",IF(C689="transfer","Moved",IF(C689="write_off","Written off",IF(C689="unfilled","Unfilled",""))))))))</f>
      </c>
      <c r="B689" s="31"/>
      <c r="C689" s="35"/>
      <c r="D689" s="33"/>
      <c r="E689" s="31"/>
      <c r="F689" s="31"/>
      <c r="G689" s="37">
        <f>IF(F689="","",IF(ISNA(MATCH(F689,'Item master'!$A$2:$A$301,0)),"Not in Item master",IFERROR(INDEX('Item master'!$B$2:$B$301,MATCH(F689,'Item master'!$A$2:$A$301,0))&amp;"","")))</f>
      </c>
      <c r="H689" s="34"/>
      <c r="I689" s="31"/>
      <c r="J689" s="31"/>
      <c r="K689" s="33"/>
      <c r="L689" s="31"/>
      <c r="M689" s="35"/>
      <c r="N689" s="30"/>
      <c r="O689" s="30"/>
      <c r="P689" s="36"/>
      <c r="Q689" s="38">
        <f>IF(OR(C689&lt;&gt;"loan",E689=""),"",IF(ISNA(MATCH(E689,Units!$A$2:$A$501,0)),"",IF(INDEX(Units!$E$2:$E$501,MATCH(E689,Units!$A$2:$A$501,0))="","",IF(K689="","No due date",IF(INT(K689)&gt;INDEX(Units!$E$2:$E$501,MATCH(E689,Units!$A$2:$A$501,0)),"Past cal date","OK")))))</f>
      </c>
      <c r="R689" s="37">
        <f>IF(A689="Overdue",K689+ROW()/10000000,"")</f>
      </c>
    </row>
    <row r="690">
      <c r="A690" s="38">
        <f>IF(C690="","",IF(B690="","Needs ID",IF(OR(C690="loan",C690="send_out"),IF(COUNTIF($L$2:$L$1001,B690)&gt;0,"Closed",IF(K690="","Open",IF(K690&lt;NOW(),"Overdue","Open"))),IF(C690="return",IF(OR(L690="",COUNTIF($B$2:$B$1001,L690)=0),"No match",IF(OR(M690="worn",M690="damaged"),"Quarantine","Returned")),IF(C690="issue","Issued",IF(C690="transfer","Moved",IF(C690="write_off","Written off",IF(C690="unfilled","Unfilled",""))))))))</f>
      </c>
      <c r="B690" s="31"/>
      <c r="C690" s="35"/>
      <c r="D690" s="33"/>
      <c r="E690" s="31"/>
      <c r="F690" s="31"/>
      <c r="G690" s="37">
        <f>IF(F690="","",IF(ISNA(MATCH(F690,'Item master'!$A$2:$A$301,0)),"Not in Item master",IFERROR(INDEX('Item master'!$B$2:$B$301,MATCH(F690,'Item master'!$A$2:$A$301,0))&amp;"","")))</f>
      </c>
      <c r="H690" s="34"/>
      <c r="I690" s="31"/>
      <c r="J690" s="31"/>
      <c r="K690" s="33"/>
      <c r="L690" s="31"/>
      <c r="M690" s="35"/>
      <c r="N690" s="30"/>
      <c r="O690" s="30"/>
      <c r="P690" s="36"/>
      <c r="Q690" s="38">
        <f>IF(OR(C690&lt;&gt;"loan",E690=""),"",IF(ISNA(MATCH(E690,Units!$A$2:$A$501,0)),"",IF(INDEX(Units!$E$2:$E$501,MATCH(E690,Units!$A$2:$A$501,0))="","",IF(K690="","No due date",IF(INT(K690)&gt;INDEX(Units!$E$2:$E$501,MATCH(E690,Units!$A$2:$A$501,0)),"Past cal date","OK")))))</f>
      </c>
      <c r="R690" s="37">
        <f>IF(A690="Overdue",K690+ROW()/10000000,"")</f>
      </c>
    </row>
    <row r="691">
      <c r="A691" s="38">
        <f>IF(C691="","",IF(B691="","Needs ID",IF(OR(C691="loan",C691="send_out"),IF(COUNTIF($L$2:$L$1001,B691)&gt;0,"Closed",IF(K691="","Open",IF(K691&lt;NOW(),"Overdue","Open"))),IF(C691="return",IF(OR(L691="",COUNTIF($B$2:$B$1001,L691)=0),"No match",IF(OR(M691="worn",M691="damaged"),"Quarantine","Returned")),IF(C691="issue","Issued",IF(C691="transfer","Moved",IF(C691="write_off","Written off",IF(C691="unfilled","Unfilled",""))))))))</f>
      </c>
      <c r="B691" s="31"/>
      <c r="C691" s="35"/>
      <c r="D691" s="33"/>
      <c r="E691" s="31"/>
      <c r="F691" s="31"/>
      <c r="G691" s="37">
        <f>IF(F691="","",IF(ISNA(MATCH(F691,'Item master'!$A$2:$A$301,0)),"Not in Item master",IFERROR(INDEX('Item master'!$B$2:$B$301,MATCH(F691,'Item master'!$A$2:$A$301,0))&amp;"","")))</f>
      </c>
      <c r="H691" s="34"/>
      <c r="I691" s="31"/>
      <c r="J691" s="31"/>
      <c r="K691" s="33"/>
      <c r="L691" s="31"/>
      <c r="M691" s="35"/>
      <c r="N691" s="30"/>
      <c r="O691" s="30"/>
      <c r="P691" s="36"/>
      <c r="Q691" s="38">
        <f>IF(OR(C691&lt;&gt;"loan",E691=""),"",IF(ISNA(MATCH(E691,Units!$A$2:$A$501,0)),"",IF(INDEX(Units!$E$2:$E$501,MATCH(E691,Units!$A$2:$A$501,0))="","",IF(K691="","No due date",IF(INT(K691)&gt;INDEX(Units!$E$2:$E$501,MATCH(E691,Units!$A$2:$A$501,0)),"Past cal date","OK")))))</f>
      </c>
      <c r="R691" s="37">
        <f>IF(A691="Overdue",K691+ROW()/10000000,"")</f>
      </c>
    </row>
    <row r="692">
      <c r="A692" s="38">
        <f>IF(C692="","",IF(B692="","Needs ID",IF(OR(C692="loan",C692="send_out"),IF(COUNTIF($L$2:$L$1001,B692)&gt;0,"Closed",IF(K692="","Open",IF(K692&lt;NOW(),"Overdue","Open"))),IF(C692="return",IF(OR(L692="",COUNTIF($B$2:$B$1001,L692)=0),"No match",IF(OR(M692="worn",M692="damaged"),"Quarantine","Returned")),IF(C692="issue","Issued",IF(C692="transfer","Moved",IF(C692="write_off","Written off",IF(C692="unfilled","Unfilled",""))))))))</f>
      </c>
      <c r="B692" s="31"/>
      <c r="C692" s="35"/>
      <c r="D692" s="33"/>
      <c r="E692" s="31"/>
      <c r="F692" s="31"/>
      <c r="G692" s="37">
        <f>IF(F692="","",IF(ISNA(MATCH(F692,'Item master'!$A$2:$A$301,0)),"Not in Item master",IFERROR(INDEX('Item master'!$B$2:$B$301,MATCH(F692,'Item master'!$A$2:$A$301,0))&amp;"","")))</f>
      </c>
      <c r="H692" s="34"/>
      <c r="I692" s="31"/>
      <c r="J692" s="31"/>
      <c r="K692" s="33"/>
      <c r="L692" s="31"/>
      <c r="M692" s="35"/>
      <c r="N692" s="30"/>
      <c r="O692" s="30"/>
      <c r="P692" s="36"/>
      <c r="Q692" s="38">
        <f>IF(OR(C692&lt;&gt;"loan",E692=""),"",IF(ISNA(MATCH(E692,Units!$A$2:$A$501,0)),"",IF(INDEX(Units!$E$2:$E$501,MATCH(E692,Units!$A$2:$A$501,0))="","",IF(K692="","No due date",IF(INT(K692)&gt;INDEX(Units!$E$2:$E$501,MATCH(E692,Units!$A$2:$A$501,0)),"Past cal date","OK")))))</f>
      </c>
      <c r="R692" s="37">
        <f>IF(A692="Overdue",K692+ROW()/10000000,"")</f>
      </c>
    </row>
    <row r="693">
      <c r="A693" s="38">
        <f>IF(C693="","",IF(B693="","Needs ID",IF(OR(C693="loan",C693="send_out"),IF(COUNTIF($L$2:$L$1001,B693)&gt;0,"Closed",IF(K693="","Open",IF(K693&lt;NOW(),"Overdue","Open"))),IF(C693="return",IF(OR(L693="",COUNTIF($B$2:$B$1001,L693)=0),"No match",IF(OR(M693="worn",M693="damaged"),"Quarantine","Returned")),IF(C693="issue","Issued",IF(C693="transfer","Moved",IF(C693="write_off","Written off",IF(C693="unfilled","Unfilled",""))))))))</f>
      </c>
      <c r="B693" s="31"/>
      <c r="C693" s="35"/>
      <c r="D693" s="33"/>
      <c r="E693" s="31"/>
      <c r="F693" s="31"/>
      <c r="G693" s="37">
        <f>IF(F693="","",IF(ISNA(MATCH(F693,'Item master'!$A$2:$A$301,0)),"Not in Item master",IFERROR(INDEX('Item master'!$B$2:$B$301,MATCH(F693,'Item master'!$A$2:$A$301,0))&amp;"","")))</f>
      </c>
      <c r="H693" s="34"/>
      <c r="I693" s="31"/>
      <c r="J693" s="31"/>
      <c r="K693" s="33"/>
      <c r="L693" s="31"/>
      <c r="M693" s="35"/>
      <c r="N693" s="30"/>
      <c r="O693" s="30"/>
      <c r="P693" s="36"/>
      <c r="Q693" s="38">
        <f>IF(OR(C693&lt;&gt;"loan",E693=""),"",IF(ISNA(MATCH(E693,Units!$A$2:$A$501,0)),"",IF(INDEX(Units!$E$2:$E$501,MATCH(E693,Units!$A$2:$A$501,0))="","",IF(K693="","No due date",IF(INT(K693)&gt;INDEX(Units!$E$2:$E$501,MATCH(E693,Units!$A$2:$A$501,0)),"Past cal date","OK")))))</f>
      </c>
      <c r="R693" s="37">
        <f>IF(A693="Overdue",K693+ROW()/10000000,"")</f>
      </c>
    </row>
    <row r="694">
      <c r="A694" s="38">
        <f>IF(C694="","",IF(B694="","Needs ID",IF(OR(C694="loan",C694="send_out"),IF(COUNTIF($L$2:$L$1001,B694)&gt;0,"Closed",IF(K694="","Open",IF(K694&lt;NOW(),"Overdue","Open"))),IF(C694="return",IF(OR(L694="",COUNTIF($B$2:$B$1001,L694)=0),"No match",IF(OR(M694="worn",M694="damaged"),"Quarantine","Returned")),IF(C694="issue","Issued",IF(C694="transfer","Moved",IF(C694="write_off","Written off",IF(C694="unfilled","Unfilled",""))))))))</f>
      </c>
      <c r="B694" s="31"/>
      <c r="C694" s="35"/>
      <c r="D694" s="33"/>
      <c r="E694" s="31"/>
      <c r="F694" s="31"/>
      <c r="G694" s="37">
        <f>IF(F694="","",IF(ISNA(MATCH(F694,'Item master'!$A$2:$A$301,0)),"Not in Item master",IFERROR(INDEX('Item master'!$B$2:$B$301,MATCH(F694,'Item master'!$A$2:$A$301,0))&amp;"","")))</f>
      </c>
      <c r="H694" s="34"/>
      <c r="I694" s="31"/>
      <c r="J694" s="31"/>
      <c r="K694" s="33"/>
      <c r="L694" s="31"/>
      <c r="M694" s="35"/>
      <c r="N694" s="30"/>
      <c r="O694" s="30"/>
      <c r="P694" s="36"/>
      <c r="Q694" s="38">
        <f>IF(OR(C694&lt;&gt;"loan",E694=""),"",IF(ISNA(MATCH(E694,Units!$A$2:$A$501,0)),"",IF(INDEX(Units!$E$2:$E$501,MATCH(E694,Units!$A$2:$A$501,0))="","",IF(K694="","No due date",IF(INT(K694)&gt;INDEX(Units!$E$2:$E$501,MATCH(E694,Units!$A$2:$A$501,0)),"Past cal date","OK")))))</f>
      </c>
      <c r="R694" s="37">
        <f>IF(A694="Overdue",K694+ROW()/10000000,"")</f>
      </c>
    </row>
    <row r="695">
      <c r="A695" s="38">
        <f>IF(C695="","",IF(B695="","Needs ID",IF(OR(C695="loan",C695="send_out"),IF(COUNTIF($L$2:$L$1001,B695)&gt;0,"Closed",IF(K695="","Open",IF(K695&lt;NOW(),"Overdue","Open"))),IF(C695="return",IF(OR(L695="",COUNTIF($B$2:$B$1001,L695)=0),"No match",IF(OR(M695="worn",M695="damaged"),"Quarantine","Returned")),IF(C695="issue","Issued",IF(C695="transfer","Moved",IF(C695="write_off","Written off",IF(C695="unfilled","Unfilled",""))))))))</f>
      </c>
      <c r="B695" s="31"/>
      <c r="C695" s="35"/>
      <c r="D695" s="33"/>
      <c r="E695" s="31"/>
      <c r="F695" s="31"/>
      <c r="G695" s="37">
        <f>IF(F695="","",IF(ISNA(MATCH(F695,'Item master'!$A$2:$A$301,0)),"Not in Item master",IFERROR(INDEX('Item master'!$B$2:$B$301,MATCH(F695,'Item master'!$A$2:$A$301,0))&amp;"","")))</f>
      </c>
      <c r="H695" s="34"/>
      <c r="I695" s="31"/>
      <c r="J695" s="31"/>
      <c r="K695" s="33"/>
      <c r="L695" s="31"/>
      <c r="M695" s="35"/>
      <c r="N695" s="30"/>
      <c r="O695" s="30"/>
      <c r="P695" s="36"/>
      <c r="Q695" s="38">
        <f>IF(OR(C695&lt;&gt;"loan",E695=""),"",IF(ISNA(MATCH(E695,Units!$A$2:$A$501,0)),"",IF(INDEX(Units!$E$2:$E$501,MATCH(E695,Units!$A$2:$A$501,0))="","",IF(K695="","No due date",IF(INT(K695)&gt;INDEX(Units!$E$2:$E$501,MATCH(E695,Units!$A$2:$A$501,0)),"Past cal date","OK")))))</f>
      </c>
      <c r="R695" s="37">
        <f>IF(A695="Overdue",K695+ROW()/10000000,"")</f>
      </c>
    </row>
    <row r="696">
      <c r="A696" s="38">
        <f>IF(C696="","",IF(B696="","Needs ID",IF(OR(C696="loan",C696="send_out"),IF(COUNTIF($L$2:$L$1001,B696)&gt;0,"Closed",IF(K696="","Open",IF(K696&lt;NOW(),"Overdue","Open"))),IF(C696="return",IF(OR(L696="",COUNTIF($B$2:$B$1001,L696)=0),"No match",IF(OR(M696="worn",M696="damaged"),"Quarantine","Returned")),IF(C696="issue","Issued",IF(C696="transfer","Moved",IF(C696="write_off","Written off",IF(C696="unfilled","Unfilled",""))))))))</f>
      </c>
      <c r="B696" s="31"/>
      <c r="C696" s="35"/>
      <c r="D696" s="33"/>
      <c r="E696" s="31"/>
      <c r="F696" s="31"/>
      <c r="G696" s="37">
        <f>IF(F696="","",IF(ISNA(MATCH(F696,'Item master'!$A$2:$A$301,0)),"Not in Item master",IFERROR(INDEX('Item master'!$B$2:$B$301,MATCH(F696,'Item master'!$A$2:$A$301,0))&amp;"","")))</f>
      </c>
      <c r="H696" s="34"/>
      <c r="I696" s="31"/>
      <c r="J696" s="31"/>
      <c r="K696" s="33"/>
      <c r="L696" s="31"/>
      <c r="M696" s="35"/>
      <c r="N696" s="30"/>
      <c r="O696" s="30"/>
      <c r="P696" s="36"/>
      <c r="Q696" s="38">
        <f>IF(OR(C696&lt;&gt;"loan",E696=""),"",IF(ISNA(MATCH(E696,Units!$A$2:$A$501,0)),"",IF(INDEX(Units!$E$2:$E$501,MATCH(E696,Units!$A$2:$A$501,0))="","",IF(K696="","No due date",IF(INT(K696)&gt;INDEX(Units!$E$2:$E$501,MATCH(E696,Units!$A$2:$A$501,0)),"Past cal date","OK")))))</f>
      </c>
      <c r="R696" s="37">
        <f>IF(A696="Overdue",K696+ROW()/10000000,"")</f>
      </c>
    </row>
    <row r="697">
      <c r="A697" s="38">
        <f>IF(C697="","",IF(B697="","Needs ID",IF(OR(C697="loan",C697="send_out"),IF(COUNTIF($L$2:$L$1001,B697)&gt;0,"Closed",IF(K697="","Open",IF(K697&lt;NOW(),"Overdue","Open"))),IF(C697="return",IF(OR(L697="",COUNTIF($B$2:$B$1001,L697)=0),"No match",IF(OR(M697="worn",M697="damaged"),"Quarantine","Returned")),IF(C697="issue","Issued",IF(C697="transfer","Moved",IF(C697="write_off","Written off",IF(C697="unfilled","Unfilled",""))))))))</f>
      </c>
      <c r="B697" s="31"/>
      <c r="C697" s="35"/>
      <c r="D697" s="33"/>
      <c r="E697" s="31"/>
      <c r="F697" s="31"/>
      <c r="G697" s="37">
        <f>IF(F697="","",IF(ISNA(MATCH(F697,'Item master'!$A$2:$A$301,0)),"Not in Item master",IFERROR(INDEX('Item master'!$B$2:$B$301,MATCH(F697,'Item master'!$A$2:$A$301,0))&amp;"","")))</f>
      </c>
      <c r="H697" s="34"/>
      <c r="I697" s="31"/>
      <c r="J697" s="31"/>
      <c r="K697" s="33"/>
      <c r="L697" s="31"/>
      <c r="M697" s="35"/>
      <c r="N697" s="30"/>
      <c r="O697" s="30"/>
      <c r="P697" s="36"/>
      <c r="Q697" s="38">
        <f>IF(OR(C697&lt;&gt;"loan",E697=""),"",IF(ISNA(MATCH(E697,Units!$A$2:$A$501,0)),"",IF(INDEX(Units!$E$2:$E$501,MATCH(E697,Units!$A$2:$A$501,0))="","",IF(K697="","No due date",IF(INT(K697)&gt;INDEX(Units!$E$2:$E$501,MATCH(E697,Units!$A$2:$A$501,0)),"Past cal date","OK")))))</f>
      </c>
      <c r="R697" s="37">
        <f>IF(A697="Overdue",K697+ROW()/10000000,"")</f>
      </c>
    </row>
    <row r="698">
      <c r="A698" s="38">
        <f>IF(C698="","",IF(B698="","Needs ID",IF(OR(C698="loan",C698="send_out"),IF(COUNTIF($L$2:$L$1001,B698)&gt;0,"Closed",IF(K698="","Open",IF(K698&lt;NOW(),"Overdue","Open"))),IF(C698="return",IF(OR(L698="",COUNTIF($B$2:$B$1001,L698)=0),"No match",IF(OR(M698="worn",M698="damaged"),"Quarantine","Returned")),IF(C698="issue","Issued",IF(C698="transfer","Moved",IF(C698="write_off","Written off",IF(C698="unfilled","Unfilled",""))))))))</f>
      </c>
      <c r="B698" s="31"/>
      <c r="C698" s="35"/>
      <c r="D698" s="33"/>
      <c r="E698" s="31"/>
      <c r="F698" s="31"/>
      <c r="G698" s="37">
        <f>IF(F698="","",IF(ISNA(MATCH(F698,'Item master'!$A$2:$A$301,0)),"Not in Item master",IFERROR(INDEX('Item master'!$B$2:$B$301,MATCH(F698,'Item master'!$A$2:$A$301,0))&amp;"","")))</f>
      </c>
      <c r="H698" s="34"/>
      <c r="I698" s="31"/>
      <c r="J698" s="31"/>
      <c r="K698" s="33"/>
      <c r="L698" s="31"/>
      <c r="M698" s="35"/>
      <c r="N698" s="30"/>
      <c r="O698" s="30"/>
      <c r="P698" s="36"/>
      <c r="Q698" s="38">
        <f>IF(OR(C698&lt;&gt;"loan",E698=""),"",IF(ISNA(MATCH(E698,Units!$A$2:$A$501,0)),"",IF(INDEX(Units!$E$2:$E$501,MATCH(E698,Units!$A$2:$A$501,0))="","",IF(K698="","No due date",IF(INT(K698)&gt;INDEX(Units!$E$2:$E$501,MATCH(E698,Units!$A$2:$A$501,0)),"Past cal date","OK")))))</f>
      </c>
      <c r="R698" s="37">
        <f>IF(A698="Overdue",K698+ROW()/10000000,"")</f>
      </c>
    </row>
    <row r="699">
      <c r="A699" s="38">
        <f>IF(C699="","",IF(B699="","Needs ID",IF(OR(C699="loan",C699="send_out"),IF(COUNTIF($L$2:$L$1001,B699)&gt;0,"Closed",IF(K699="","Open",IF(K699&lt;NOW(),"Overdue","Open"))),IF(C699="return",IF(OR(L699="",COUNTIF($B$2:$B$1001,L699)=0),"No match",IF(OR(M699="worn",M699="damaged"),"Quarantine","Returned")),IF(C699="issue","Issued",IF(C699="transfer","Moved",IF(C699="write_off","Written off",IF(C699="unfilled","Unfilled",""))))))))</f>
      </c>
      <c r="B699" s="31"/>
      <c r="C699" s="35"/>
      <c r="D699" s="33"/>
      <c r="E699" s="31"/>
      <c r="F699" s="31"/>
      <c r="G699" s="37">
        <f>IF(F699="","",IF(ISNA(MATCH(F699,'Item master'!$A$2:$A$301,0)),"Not in Item master",IFERROR(INDEX('Item master'!$B$2:$B$301,MATCH(F699,'Item master'!$A$2:$A$301,0))&amp;"","")))</f>
      </c>
      <c r="H699" s="34"/>
      <c r="I699" s="31"/>
      <c r="J699" s="31"/>
      <c r="K699" s="33"/>
      <c r="L699" s="31"/>
      <c r="M699" s="35"/>
      <c r="N699" s="30"/>
      <c r="O699" s="30"/>
      <c r="P699" s="36"/>
      <c r="Q699" s="38">
        <f>IF(OR(C699&lt;&gt;"loan",E699=""),"",IF(ISNA(MATCH(E699,Units!$A$2:$A$501,0)),"",IF(INDEX(Units!$E$2:$E$501,MATCH(E699,Units!$A$2:$A$501,0))="","",IF(K699="","No due date",IF(INT(K699)&gt;INDEX(Units!$E$2:$E$501,MATCH(E699,Units!$A$2:$A$501,0)),"Past cal date","OK")))))</f>
      </c>
      <c r="R699" s="37">
        <f>IF(A699="Overdue",K699+ROW()/10000000,"")</f>
      </c>
    </row>
    <row r="700">
      <c r="A700" s="38">
        <f>IF(C700="","",IF(B700="","Needs ID",IF(OR(C700="loan",C700="send_out"),IF(COUNTIF($L$2:$L$1001,B700)&gt;0,"Closed",IF(K700="","Open",IF(K700&lt;NOW(),"Overdue","Open"))),IF(C700="return",IF(OR(L700="",COUNTIF($B$2:$B$1001,L700)=0),"No match",IF(OR(M700="worn",M700="damaged"),"Quarantine","Returned")),IF(C700="issue","Issued",IF(C700="transfer","Moved",IF(C700="write_off","Written off",IF(C700="unfilled","Unfilled",""))))))))</f>
      </c>
      <c r="B700" s="31"/>
      <c r="C700" s="35"/>
      <c r="D700" s="33"/>
      <c r="E700" s="31"/>
      <c r="F700" s="31"/>
      <c r="G700" s="37">
        <f>IF(F700="","",IF(ISNA(MATCH(F700,'Item master'!$A$2:$A$301,0)),"Not in Item master",IFERROR(INDEX('Item master'!$B$2:$B$301,MATCH(F700,'Item master'!$A$2:$A$301,0))&amp;"","")))</f>
      </c>
      <c r="H700" s="34"/>
      <c r="I700" s="31"/>
      <c r="J700" s="31"/>
      <c r="K700" s="33"/>
      <c r="L700" s="31"/>
      <c r="M700" s="35"/>
      <c r="N700" s="30"/>
      <c r="O700" s="30"/>
      <c r="P700" s="36"/>
      <c r="Q700" s="38">
        <f>IF(OR(C700&lt;&gt;"loan",E700=""),"",IF(ISNA(MATCH(E700,Units!$A$2:$A$501,0)),"",IF(INDEX(Units!$E$2:$E$501,MATCH(E700,Units!$A$2:$A$501,0))="","",IF(K700="","No due date",IF(INT(K700)&gt;INDEX(Units!$E$2:$E$501,MATCH(E700,Units!$A$2:$A$501,0)),"Past cal date","OK")))))</f>
      </c>
      <c r="R700" s="37">
        <f>IF(A700="Overdue",K700+ROW()/10000000,"")</f>
      </c>
    </row>
    <row r="701">
      <c r="A701" s="38">
        <f>IF(C701="","",IF(B701="","Needs ID",IF(OR(C701="loan",C701="send_out"),IF(COUNTIF($L$2:$L$1001,B701)&gt;0,"Closed",IF(K701="","Open",IF(K701&lt;NOW(),"Overdue","Open"))),IF(C701="return",IF(OR(L701="",COUNTIF($B$2:$B$1001,L701)=0),"No match",IF(OR(M701="worn",M701="damaged"),"Quarantine","Returned")),IF(C701="issue","Issued",IF(C701="transfer","Moved",IF(C701="write_off","Written off",IF(C701="unfilled","Unfilled",""))))))))</f>
      </c>
      <c r="B701" s="31"/>
      <c r="C701" s="35"/>
      <c r="D701" s="33"/>
      <c r="E701" s="31"/>
      <c r="F701" s="31"/>
      <c r="G701" s="37">
        <f>IF(F701="","",IF(ISNA(MATCH(F701,'Item master'!$A$2:$A$301,0)),"Not in Item master",IFERROR(INDEX('Item master'!$B$2:$B$301,MATCH(F701,'Item master'!$A$2:$A$301,0))&amp;"","")))</f>
      </c>
      <c r="H701" s="34"/>
      <c r="I701" s="31"/>
      <c r="J701" s="31"/>
      <c r="K701" s="33"/>
      <c r="L701" s="31"/>
      <c r="M701" s="35"/>
      <c r="N701" s="30"/>
      <c r="O701" s="30"/>
      <c r="P701" s="36"/>
      <c r="Q701" s="38">
        <f>IF(OR(C701&lt;&gt;"loan",E701=""),"",IF(ISNA(MATCH(E701,Units!$A$2:$A$501,0)),"",IF(INDEX(Units!$E$2:$E$501,MATCH(E701,Units!$A$2:$A$501,0))="","",IF(K701="","No due date",IF(INT(K701)&gt;INDEX(Units!$E$2:$E$501,MATCH(E701,Units!$A$2:$A$501,0)),"Past cal date","OK")))))</f>
      </c>
      <c r="R701" s="37">
        <f>IF(A701="Overdue",K701+ROW()/10000000,"")</f>
      </c>
    </row>
    <row r="702">
      <c r="A702" s="38">
        <f>IF(C702="","",IF(B702="","Needs ID",IF(OR(C702="loan",C702="send_out"),IF(COUNTIF($L$2:$L$1001,B702)&gt;0,"Closed",IF(K702="","Open",IF(K702&lt;NOW(),"Overdue","Open"))),IF(C702="return",IF(OR(L702="",COUNTIF($B$2:$B$1001,L702)=0),"No match",IF(OR(M702="worn",M702="damaged"),"Quarantine","Returned")),IF(C702="issue","Issued",IF(C702="transfer","Moved",IF(C702="write_off","Written off",IF(C702="unfilled","Unfilled",""))))))))</f>
      </c>
      <c r="B702" s="31"/>
      <c r="C702" s="35"/>
      <c r="D702" s="33"/>
      <c r="E702" s="31"/>
      <c r="F702" s="31"/>
      <c r="G702" s="37">
        <f>IF(F702="","",IF(ISNA(MATCH(F702,'Item master'!$A$2:$A$301,0)),"Not in Item master",IFERROR(INDEX('Item master'!$B$2:$B$301,MATCH(F702,'Item master'!$A$2:$A$301,0))&amp;"","")))</f>
      </c>
      <c r="H702" s="34"/>
      <c r="I702" s="31"/>
      <c r="J702" s="31"/>
      <c r="K702" s="33"/>
      <c r="L702" s="31"/>
      <c r="M702" s="35"/>
      <c r="N702" s="30"/>
      <c r="O702" s="30"/>
      <c r="P702" s="36"/>
      <c r="Q702" s="38">
        <f>IF(OR(C702&lt;&gt;"loan",E702=""),"",IF(ISNA(MATCH(E702,Units!$A$2:$A$501,0)),"",IF(INDEX(Units!$E$2:$E$501,MATCH(E702,Units!$A$2:$A$501,0))="","",IF(K702="","No due date",IF(INT(K702)&gt;INDEX(Units!$E$2:$E$501,MATCH(E702,Units!$A$2:$A$501,0)),"Past cal date","OK")))))</f>
      </c>
      <c r="R702" s="37">
        <f>IF(A702="Overdue",K702+ROW()/10000000,"")</f>
      </c>
    </row>
    <row r="703">
      <c r="A703" s="38">
        <f>IF(C703="","",IF(B703="","Needs ID",IF(OR(C703="loan",C703="send_out"),IF(COUNTIF($L$2:$L$1001,B703)&gt;0,"Closed",IF(K703="","Open",IF(K703&lt;NOW(),"Overdue","Open"))),IF(C703="return",IF(OR(L703="",COUNTIF($B$2:$B$1001,L703)=0),"No match",IF(OR(M703="worn",M703="damaged"),"Quarantine","Returned")),IF(C703="issue","Issued",IF(C703="transfer","Moved",IF(C703="write_off","Written off",IF(C703="unfilled","Unfilled",""))))))))</f>
      </c>
      <c r="B703" s="31"/>
      <c r="C703" s="35"/>
      <c r="D703" s="33"/>
      <c r="E703" s="31"/>
      <c r="F703" s="31"/>
      <c r="G703" s="37">
        <f>IF(F703="","",IF(ISNA(MATCH(F703,'Item master'!$A$2:$A$301,0)),"Not in Item master",IFERROR(INDEX('Item master'!$B$2:$B$301,MATCH(F703,'Item master'!$A$2:$A$301,0))&amp;"","")))</f>
      </c>
      <c r="H703" s="34"/>
      <c r="I703" s="31"/>
      <c r="J703" s="31"/>
      <c r="K703" s="33"/>
      <c r="L703" s="31"/>
      <c r="M703" s="35"/>
      <c r="N703" s="30"/>
      <c r="O703" s="30"/>
      <c r="P703" s="36"/>
      <c r="Q703" s="38">
        <f>IF(OR(C703&lt;&gt;"loan",E703=""),"",IF(ISNA(MATCH(E703,Units!$A$2:$A$501,0)),"",IF(INDEX(Units!$E$2:$E$501,MATCH(E703,Units!$A$2:$A$501,0))="","",IF(K703="","No due date",IF(INT(K703)&gt;INDEX(Units!$E$2:$E$501,MATCH(E703,Units!$A$2:$A$501,0)),"Past cal date","OK")))))</f>
      </c>
      <c r="R703" s="37">
        <f>IF(A703="Overdue",K703+ROW()/10000000,"")</f>
      </c>
    </row>
    <row r="704">
      <c r="A704" s="38">
        <f>IF(C704="","",IF(B704="","Needs ID",IF(OR(C704="loan",C704="send_out"),IF(COUNTIF($L$2:$L$1001,B704)&gt;0,"Closed",IF(K704="","Open",IF(K704&lt;NOW(),"Overdue","Open"))),IF(C704="return",IF(OR(L704="",COUNTIF($B$2:$B$1001,L704)=0),"No match",IF(OR(M704="worn",M704="damaged"),"Quarantine","Returned")),IF(C704="issue","Issued",IF(C704="transfer","Moved",IF(C704="write_off","Written off",IF(C704="unfilled","Unfilled",""))))))))</f>
      </c>
      <c r="B704" s="31"/>
      <c r="C704" s="35"/>
      <c r="D704" s="33"/>
      <c r="E704" s="31"/>
      <c r="F704" s="31"/>
      <c r="G704" s="37">
        <f>IF(F704="","",IF(ISNA(MATCH(F704,'Item master'!$A$2:$A$301,0)),"Not in Item master",IFERROR(INDEX('Item master'!$B$2:$B$301,MATCH(F704,'Item master'!$A$2:$A$301,0))&amp;"","")))</f>
      </c>
      <c r="H704" s="34"/>
      <c r="I704" s="31"/>
      <c r="J704" s="31"/>
      <c r="K704" s="33"/>
      <c r="L704" s="31"/>
      <c r="M704" s="35"/>
      <c r="N704" s="30"/>
      <c r="O704" s="30"/>
      <c r="P704" s="36"/>
      <c r="Q704" s="38">
        <f>IF(OR(C704&lt;&gt;"loan",E704=""),"",IF(ISNA(MATCH(E704,Units!$A$2:$A$501,0)),"",IF(INDEX(Units!$E$2:$E$501,MATCH(E704,Units!$A$2:$A$501,0))="","",IF(K704="","No due date",IF(INT(K704)&gt;INDEX(Units!$E$2:$E$501,MATCH(E704,Units!$A$2:$A$501,0)),"Past cal date","OK")))))</f>
      </c>
      <c r="R704" s="37">
        <f>IF(A704="Overdue",K704+ROW()/10000000,"")</f>
      </c>
    </row>
    <row r="705">
      <c r="A705" s="38">
        <f>IF(C705="","",IF(B705="","Needs ID",IF(OR(C705="loan",C705="send_out"),IF(COUNTIF($L$2:$L$1001,B705)&gt;0,"Closed",IF(K705="","Open",IF(K705&lt;NOW(),"Overdue","Open"))),IF(C705="return",IF(OR(L705="",COUNTIF($B$2:$B$1001,L705)=0),"No match",IF(OR(M705="worn",M705="damaged"),"Quarantine","Returned")),IF(C705="issue","Issued",IF(C705="transfer","Moved",IF(C705="write_off","Written off",IF(C705="unfilled","Unfilled",""))))))))</f>
      </c>
      <c r="B705" s="31"/>
      <c r="C705" s="35"/>
      <c r="D705" s="33"/>
      <c r="E705" s="31"/>
      <c r="F705" s="31"/>
      <c r="G705" s="37">
        <f>IF(F705="","",IF(ISNA(MATCH(F705,'Item master'!$A$2:$A$301,0)),"Not in Item master",IFERROR(INDEX('Item master'!$B$2:$B$301,MATCH(F705,'Item master'!$A$2:$A$301,0))&amp;"","")))</f>
      </c>
      <c r="H705" s="34"/>
      <c r="I705" s="31"/>
      <c r="J705" s="31"/>
      <c r="K705" s="33"/>
      <c r="L705" s="31"/>
      <c r="M705" s="35"/>
      <c r="N705" s="30"/>
      <c r="O705" s="30"/>
      <c r="P705" s="36"/>
      <c r="Q705" s="38">
        <f>IF(OR(C705&lt;&gt;"loan",E705=""),"",IF(ISNA(MATCH(E705,Units!$A$2:$A$501,0)),"",IF(INDEX(Units!$E$2:$E$501,MATCH(E705,Units!$A$2:$A$501,0))="","",IF(K705="","No due date",IF(INT(K705)&gt;INDEX(Units!$E$2:$E$501,MATCH(E705,Units!$A$2:$A$501,0)),"Past cal date","OK")))))</f>
      </c>
      <c r="R705" s="37">
        <f>IF(A705="Overdue",K705+ROW()/10000000,"")</f>
      </c>
    </row>
    <row r="706">
      <c r="A706" s="38">
        <f>IF(C706="","",IF(B706="","Needs ID",IF(OR(C706="loan",C706="send_out"),IF(COUNTIF($L$2:$L$1001,B706)&gt;0,"Closed",IF(K706="","Open",IF(K706&lt;NOW(),"Overdue","Open"))),IF(C706="return",IF(OR(L706="",COUNTIF($B$2:$B$1001,L706)=0),"No match",IF(OR(M706="worn",M706="damaged"),"Quarantine","Returned")),IF(C706="issue","Issued",IF(C706="transfer","Moved",IF(C706="write_off","Written off",IF(C706="unfilled","Unfilled",""))))))))</f>
      </c>
      <c r="B706" s="31"/>
      <c r="C706" s="35"/>
      <c r="D706" s="33"/>
      <c r="E706" s="31"/>
      <c r="F706" s="31"/>
      <c r="G706" s="37">
        <f>IF(F706="","",IF(ISNA(MATCH(F706,'Item master'!$A$2:$A$301,0)),"Not in Item master",IFERROR(INDEX('Item master'!$B$2:$B$301,MATCH(F706,'Item master'!$A$2:$A$301,0))&amp;"","")))</f>
      </c>
      <c r="H706" s="34"/>
      <c r="I706" s="31"/>
      <c r="J706" s="31"/>
      <c r="K706" s="33"/>
      <c r="L706" s="31"/>
      <c r="M706" s="35"/>
      <c r="N706" s="30"/>
      <c r="O706" s="30"/>
      <c r="P706" s="36"/>
      <c r="Q706" s="38">
        <f>IF(OR(C706&lt;&gt;"loan",E706=""),"",IF(ISNA(MATCH(E706,Units!$A$2:$A$501,0)),"",IF(INDEX(Units!$E$2:$E$501,MATCH(E706,Units!$A$2:$A$501,0))="","",IF(K706="","No due date",IF(INT(K706)&gt;INDEX(Units!$E$2:$E$501,MATCH(E706,Units!$A$2:$A$501,0)),"Past cal date","OK")))))</f>
      </c>
      <c r="R706" s="37">
        <f>IF(A706="Overdue",K706+ROW()/10000000,"")</f>
      </c>
    </row>
    <row r="707">
      <c r="A707" s="38">
        <f>IF(C707="","",IF(B707="","Needs ID",IF(OR(C707="loan",C707="send_out"),IF(COUNTIF($L$2:$L$1001,B707)&gt;0,"Closed",IF(K707="","Open",IF(K707&lt;NOW(),"Overdue","Open"))),IF(C707="return",IF(OR(L707="",COUNTIF($B$2:$B$1001,L707)=0),"No match",IF(OR(M707="worn",M707="damaged"),"Quarantine","Returned")),IF(C707="issue","Issued",IF(C707="transfer","Moved",IF(C707="write_off","Written off",IF(C707="unfilled","Unfilled",""))))))))</f>
      </c>
      <c r="B707" s="31"/>
      <c r="C707" s="35"/>
      <c r="D707" s="33"/>
      <c r="E707" s="31"/>
      <c r="F707" s="31"/>
      <c r="G707" s="37">
        <f>IF(F707="","",IF(ISNA(MATCH(F707,'Item master'!$A$2:$A$301,0)),"Not in Item master",IFERROR(INDEX('Item master'!$B$2:$B$301,MATCH(F707,'Item master'!$A$2:$A$301,0))&amp;"","")))</f>
      </c>
      <c r="H707" s="34"/>
      <c r="I707" s="31"/>
      <c r="J707" s="31"/>
      <c r="K707" s="33"/>
      <c r="L707" s="31"/>
      <c r="M707" s="35"/>
      <c r="N707" s="30"/>
      <c r="O707" s="30"/>
      <c r="P707" s="36"/>
      <c r="Q707" s="38">
        <f>IF(OR(C707&lt;&gt;"loan",E707=""),"",IF(ISNA(MATCH(E707,Units!$A$2:$A$501,0)),"",IF(INDEX(Units!$E$2:$E$501,MATCH(E707,Units!$A$2:$A$501,0))="","",IF(K707="","No due date",IF(INT(K707)&gt;INDEX(Units!$E$2:$E$501,MATCH(E707,Units!$A$2:$A$501,0)),"Past cal date","OK")))))</f>
      </c>
      <c r="R707" s="37">
        <f>IF(A707="Overdue",K707+ROW()/10000000,"")</f>
      </c>
    </row>
    <row r="708">
      <c r="A708" s="38">
        <f>IF(C708="","",IF(B708="","Needs ID",IF(OR(C708="loan",C708="send_out"),IF(COUNTIF($L$2:$L$1001,B708)&gt;0,"Closed",IF(K708="","Open",IF(K708&lt;NOW(),"Overdue","Open"))),IF(C708="return",IF(OR(L708="",COUNTIF($B$2:$B$1001,L708)=0),"No match",IF(OR(M708="worn",M708="damaged"),"Quarantine","Returned")),IF(C708="issue","Issued",IF(C708="transfer","Moved",IF(C708="write_off","Written off",IF(C708="unfilled","Unfilled",""))))))))</f>
      </c>
      <c r="B708" s="31"/>
      <c r="C708" s="35"/>
      <c r="D708" s="33"/>
      <c r="E708" s="31"/>
      <c r="F708" s="31"/>
      <c r="G708" s="37">
        <f>IF(F708="","",IF(ISNA(MATCH(F708,'Item master'!$A$2:$A$301,0)),"Not in Item master",IFERROR(INDEX('Item master'!$B$2:$B$301,MATCH(F708,'Item master'!$A$2:$A$301,0))&amp;"","")))</f>
      </c>
      <c r="H708" s="34"/>
      <c r="I708" s="31"/>
      <c r="J708" s="31"/>
      <c r="K708" s="33"/>
      <c r="L708" s="31"/>
      <c r="M708" s="35"/>
      <c r="N708" s="30"/>
      <c r="O708" s="30"/>
      <c r="P708" s="36"/>
      <c r="Q708" s="38">
        <f>IF(OR(C708&lt;&gt;"loan",E708=""),"",IF(ISNA(MATCH(E708,Units!$A$2:$A$501,0)),"",IF(INDEX(Units!$E$2:$E$501,MATCH(E708,Units!$A$2:$A$501,0))="","",IF(K708="","No due date",IF(INT(K708)&gt;INDEX(Units!$E$2:$E$501,MATCH(E708,Units!$A$2:$A$501,0)),"Past cal date","OK")))))</f>
      </c>
      <c r="R708" s="37">
        <f>IF(A708="Overdue",K708+ROW()/10000000,"")</f>
      </c>
    </row>
    <row r="709">
      <c r="A709" s="38">
        <f>IF(C709="","",IF(B709="","Needs ID",IF(OR(C709="loan",C709="send_out"),IF(COUNTIF($L$2:$L$1001,B709)&gt;0,"Closed",IF(K709="","Open",IF(K709&lt;NOW(),"Overdue","Open"))),IF(C709="return",IF(OR(L709="",COUNTIF($B$2:$B$1001,L709)=0),"No match",IF(OR(M709="worn",M709="damaged"),"Quarantine","Returned")),IF(C709="issue","Issued",IF(C709="transfer","Moved",IF(C709="write_off","Written off",IF(C709="unfilled","Unfilled",""))))))))</f>
      </c>
      <c r="B709" s="31"/>
      <c r="C709" s="35"/>
      <c r="D709" s="33"/>
      <c r="E709" s="31"/>
      <c r="F709" s="31"/>
      <c r="G709" s="37">
        <f>IF(F709="","",IF(ISNA(MATCH(F709,'Item master'!$A$2:$A$301,0)),"Not in Item master",IFERROR(INDEX('Item master'!$B$2:$B$301,MATCH(F709,'Item master'!$A$2:$A$301,0))&amp;"","")))</f>
      </c>
      <c r="H709" s="34"/>
      <c r="I709" s="31"/>
      <c r="J709" s="31"/>
      <c r="K709" s="33"/>
      <c r="L709" s="31"/>
      <c r="M709" s="35"/>
      <c r="N709" s="30"/>
      <c r="O709" s="30"/>
      <c r="P709" s="36"/>
      <c r="Q709" s="38">
        <f>IF(OR(C709&lt;&gt;"loan",E709=""),"",IF(ISNA(MATCH(E709,Units!$A$2:$A$501,0)),"",IF(INDEX(Units!$E$2:$E$501,MATCH(E709,Units!$A$2:$A$501,0))="","",IF(K709="","No due date",IF(INT(K709)&gt;INDEX(Units!$E$2:$E$501,MATCH(E709,Units!$A$2:$A$501,0)),"Past cal date","OK")))))</f>
      </c>
      <c r="R709" s="37">
        <f>IF(A709="Overdue",K709+ROW()/10000000,"")</f>
      </c>
    </row>
    <row r="710">
      <c r="A710" s="38">
        <f>IF(C710="","",IF(B710="","Needs ID",IF(OR(C710="loan",C710="send_out"),IF(COUNTIF($L$2:$L$1001,B710)&gt;0,"Closed",IF(K710="","Open",IF(K710&lt;NOW(),"Overdue","Open"))),IF(C710="return",IF(OR(L710="",COUNTIF($B$2:$B$1001,L710)=0),"No match",IF(OR(M710="worn",M710="damaged"),"Quarantine","Returned")),IF(C710="issue","Issued",IF(C710="transfer","Moved",IF(C710="write_off","Written off",IF(C710="unfilled","Unfilled",""))))))))</f>
      </c>
      <c r="B710" s="31"/>
      <c r="C710" s="35"/>
      <c r="D710" s="33"/>
      <c r="E710" s="31"/>
      <c r="F710" s="31"/>
      <c r="G710" s="37">
        <f>IF(F710="","",IF(ISNA(MATCH(F710,'Item master'!$A$2:$A$301,0)),"Not in Item master",IFERROR(INDEX('Item master'!$B$2:$B$301,MATCH(F710,'Item master'!$A$2:$A$301,0))&amp;"","")))</f>
      </c>
      <c r="H710" s="34"/>
      <c r="I710" s="31"/>
      <c r="J710" s="31"/>
      <c r="K710" s="33"/>
      <c r="L710" s="31"/>
      <c r="M710" s="35"/>
      <c r="N710" s="30"/>
      <c r="O710" s="30"/>
      <c r="P710" s="36"/>
      <c r="Q710" s="38">
        <f>IF(OR(C710&lt;&gt;"loan",E710=""),"",IF(ISNA(MATCH(E710,Units!$A$2:$A$501,0)),"",IF(INDEX(Units!$E$2:$E$501,MATCH(E710,Units!$A$2:$A$501,0))="","",IF(K710="","No due date",IF(INT(K710)&gt;INDEX(Units!$E$2:$E$501,MATCH(E710,Units!$A$2:$A$501,0)),"Past cal date","OK")))))</f>
      </c>
      <c r="R710" s="37">
        <f>IF(A710="Overdue",K710+ROW()/10000000,"")</f>
      </c>
    </row>
    <row r="711">
      <c r="A711" s="38">
        <f>IF(C711="","",IF(B711="","Needs ID",IF(OR(C711="loan",C711="send_out"),IF(COUNTIF($L$2:$L$1001,B711)&gt;0,"Closed",IF(K711="","Open",IF(K711&lt;NOW(),"Overdue","Open"))),IF(C711="return",IF(OR(L711="",COUNTIF($B$2:$B$1001,L711)=0),"No match",IF(OR(M711="worn",M711="damaged"),"Quarantine","Returned")),IF(C711="issue","Issued",IF(C711="transfer","Moved",IF(C711="write_off","Written off",IF(C711="unfilled","Unfilled",""))))))))</f>
      </c>
      <c r="B711" s="31"/>
      <c r="C711" s="35"/>
      <c r="D711" s="33"/>
      <c r="E711" s="31"/>
      <c r="F711" s="31"/>
      <c r="G711" s="37">
        <f>IF(F711="","",IF(ISNA(MATCH(F711,'Item master'!$A$2:$A$301,0)),"Not in Item master",IFERROR(INDEX('Item master'!$B$2:$B$301,MATCH(F711,'Item master'!$A$2:$A$301,0))&amp;"","")))</f>
      </c>
      <c r="H711" s="34"/>
      <c r="I711" s="31"/>
      <c r="J711" s="31"/>
      <c r="K711" s="33"/>
      <c r="L711" s="31"/>
      <c r="M711" s="35"/>
      <c r="N711" s="30"/>
      <c r="O711" s="30"/>
      <c r="P711" s="36"/>
      <c r="Q711" s="38">
        <f>IF(OR(C711&lt;&gt;"loan",E711=""),"",IF(ISNA(MATCH(E711,Units!$A$2:$A$501,0)),"",IF(INDEX(Units!$E$2:$E$501,MATCH(E711,Units!$A$2:$A$501,0))="","",IF(K711="","No due date",IF(INT(K711)&gt;INDEX(Units!$E$2:$E$501,MATCH(E711,Units!$A$2:$A$501,0)),"Past cal date","OK")))))</f>
      </c>
      <c r="R711" s="37">
        <f>IF(A711="Overdue",K711+ROW()/10000000,"")</f>
      </c>
    </row>
    <row r="712">
      <c r="A712" s="38">
        <f>IF(C712="","",IF(B712="","Needs ID",IF(OR(C712="loan",C712="send_out"),IF(COUNTIF($L$2:$L$1001,B712)&gt;0,"Closed",IF(K712="","Open",IF(K712&lt;NOW(),"Overdue","Open"))),IF(C712="return",IF(OR(L712="",COUNTIF($B$2:$B$1001,L712)=0),"No match",IF(OR(M712="worn",M712="damaged"),"Quarantine","Returned")),IF(C712="issue","Issued",IF(C712="transfer","Moved",IF(C712="write_off","Written off",IF(C712="unfilled","Unfilled",""))))))))</f>
      </c>
      <c r="B712" s="31"/>
      <c r="C712" s="35"/>
      <c r="D712" s="33"/>
      <c r="E712" s="31"/>
      <c r="F712" s="31"/>
      <c r="G712" s="37">
        <f>IF(F712="","",IF(ISNA(MATCH(F712,'Item master'!$A$2:$A$301,0)),"Not in Item master",IFERROR(INDEX('Item master'!$B$2:$B$301,MATCH(F712,'Item master'!$A$2:$A$301,0))&amp;"","")))</f>
      </c>
      <c r="H712" s="34"/>
      <c r="I712" s="31"/>
      <c r="J712" s="31"/>
      <c r="K712" s="33"/>
      <c r="L712" s="31"/>
      <c r="M712" s="35"/>
      <c r="N712" s="30"/>
      <c r="O712" s="30"/>
      <c r="P712" s="36"/>
      <c r="Q712" s="38">
        <f>IF(OR(C712&lt;&gt;"loan",E712=""),"",IF(ISNA(MATCH(E712,Units!$A$2:$A$501,0)),"",IF(INDEX(Units!$E$2:$E$501,MATCH(E712,Units!$A$2:$A$501,0))="","",IF(K712="","No due date",IF(INT(K712)&gt;INDEX(Units!$E$2:$E$501,MATCH(E712,Units!$A$2:$A$501,0)),"Past cal date","OK")))))</f>
      </c>
      <c r="R712" s="37">
        <f>IF(A712="Overdue",K712+ROW()/10000000,"")</f>
      </c>
    </row>
    <row r="713">
      <c r="A713" s="38">
        <f>IF(C713="","",IF(B713="","Needs ID",IF(OR(C713="loan",C713="send_out"),IF(COUNTIF($L$2:$L$1001,B713)&gt;0,"Closed",IF(K713="","Open",IF(K713&lt;NOW(),"Overdue","Open"))),IF(C713="return",IF(OR(L713="",COUNTIF($B$2:$B$1001,L713)=0),"No match",IF(OR(M713="worn",M713="damaged"),"Quarantine","Returned")),IF(C713="issue","Issued",IF(C713="transfer","Moved",IF(C713="write_off","Written off",IF(C713="unfilled","Unfilled",""))))))))</f>
      </c>
      <c r="B713" s="31"/>
      <c r="C713" s="35"/>
      <c r="D713" s="33"/>
      <c r="E713" s="31"/>
      <c r="F713" s="31"/>
      <c r="G713" s="37">
        <f>IF(F713="","",IF(ISNA(MATCH(F713,'Item master'!$A$2:$A$301,0)),"Not in Item master",IFERROR(INDEX('Item master'!$B$2:$B$301,MATCH(F713,'Item master'!$A$2:$A$301,0))&amp;"","")))</f>
      </c>
      <c r="H713" s="34"/>
      <c r="I713" s="31"/>
      <c r="J713" s="31"/>
      <c r="K713" s="33"/>
      <c r="L713" s="31"/>
      <c r="M713" s="35"/>
      <c r="N713" s="30"/>
      <c r="O713" s="30"/>
      <c r="P713" s="36"/>
      <c r="Q713" s="38">
        <f>IF(OR(C713&lt;&gt;"loan",E713=""),"",IF(ISNA(MATCH(E713,Units!$A$2:$A$501,0)),"",IF(INDEX(Units!$E$2:$E$501,MATCH(E713,Units!$A$2:$A$501,0))="","",IF(K713="","No due date",IF(INT(K713)&gt;INDEX(Units!$E$2:$E$501,MATCH(E713,Units!$A$2:$A$501,0)),"Past cal date","OK")))))</f>
      </c>
      <c r="R713" s="37">
        <f>IF(A713="Overdue",K713+ROW()/10000000,"")</f>
      </c>
    </row>
    <row r="714">
      <c r="A714" s="38">
        <f>IF(C714="","",IF(B714="","Needs ID",IF(OR(C714="loan",C714="send_out"),IF(COUNTIF($L$2:$L$1001,B714)&gt;0,"Closed",IF(K714="","Open",IF(K714&lt;NOW(),"Overdue","Open"))),IF(C714="return",IF(OR(L714="",COUNTIF($B$2:$B$1001,L714)=0),"No match",IF(OR(M714="worn",M714="damaged"),"Quarantine","Returned")),IF(C714="issue","Issued",IF(C714="transfer","Moved",IF(C714="write_off","Written off",IF(C714="unfilled","Unfilled",""))))))))</f>
      </c>
      <c r="B714" s="31"/>
      <c r="C714" s="35"/>
      <c r="D714" s="33"/>
      <c r="E714" s="31"/>
      <c r="F714" s="31"/>
      <c r="G714" s="37">
        <f>IF(F714="","",IF(ISNA(MATCH(F714,'Item master'!$A$2:$A$301,0)),"Not in Item master",IFERROR(INDEX('Item master'!$B$2:$B$301,MATCH(F714,'Item master'!$A$2:$A$301,0))&amp;"","")))</f>
      </c>
      <c r="H714" s="34"/>
      <c r="I714" s="31"/>
      <c r="J714" s="31"/>
      <c r="K714" s="33"/>
      <c r="L714" s="31"/>
      <c r="M714" s="35"/>
      <c r="N714" s="30"/>
      <c r="O714" s="30"/>
      <c r="P714" s="36"/>
      <c r="Q714" s="38">
        <f>IF(OR(C714&lt;&gt;"loan",E714=""),"",IF(ISNA(MATCH(E714,Units!$A$2:$A$501,0)),"",IF(INDEX(Units!$E$2:$E$501,MATCH(E714,Units!$A$2:$A$501,0))="","",IF(K714="","No due date",IF(INT(K714)&gt;INDEX(Units!$E$2:$E$501,MATCH(E714,Units!$A$2:$A$501,0)),"Past cal date","OK")))))</f>
      </c>
      <c r="R714" s="37">
        <f>IF(A714="Overdue",K714+ROW()/10000000,"")</f>
      </c>
    </row>
    <row r="715">
      <c r="A715" s="38">
        <f>IF(C715="","",IF(B715="","Needs ID",IF(OR(C715="loan",C715="send_out"),IF(COUNTIF($L$2:$L$1001,B715)&gt;0,"Closed",IF(K715="","Open",IF(K715&lt;NOW(),"Overdue","Open"))),IF(C715="return",IF(OR(L715="",COUNTIF($B$2:$B$1001,L715)=0),"No match",IF(OR(M715="worn",M715="damaged"),"Quarantine","Returned")),IF(C715="issue","Issued",IF(C715="transfer","Moved",IF(C715="write_off","Written off",IF(C715="unfilled","Unfilled",""))))))))</f>
      </c>
      <c r="B715" s="31"/>
      <c r="C715" s="35"/>
      <c r="D715" s="33"/>
      <c r="E715" s="31"/>
      <c r="F715" s="31"/>
      <c r="G715" s="37">
        <f>IF(F715="","",IF(ISNA(MATCH(F715,'Item master'!$A$2:$A$301,0)),"Not in Item master",IFERROR(INDEX('Item master'!$B$2:$B$301,MATCH(F715,'Item master'!$A$2:$A$301,0))&amp;"","")))</f>
      </c>
      <c r="H715" s="34"/>
      <c r="I715" s="31"/>
      <c r="J715" s="31"/>
      <c r="K715" s="33"/>
      <c r="L715" s="31"/>
      <c r="M715" s="35"/>
      <c r="N715" s="30"/>
      <c r="O715" s="30"/>
      <c r="P715" s="36"/>
      <c r="Q715" s="38">
        <f>IF(OR(C715&lt;&gt;"loan",E715=""),"",IF(ISNA(MATCH(E715,Units!$A$2:$A$501,0)),"",IF(INDEX(Units!$E$2:$E$501,MATCH(E715,Units!$A$2:$A$501,0))="","",IF(K715="","No due date",IF(INT(K715)&gt;INDEX(Units!$E$2:$E$501,MATCH(E715,Units!$A$2:$A$501,0)),"Past cal date","OK")))))</f>
      </c>
      <c r="R715" s="37">
        <f>IF(A715="Overdue",K715+ROW()/10000000,"")</f>
      </c>
    </row>
    <row r="716">
      <c r="A716" s="38">
        <f>IF(C716="","",IF(B716="","Needs ID",IF(OR(C716="loan",C716="send_out"),IF(COUNTIF($L$2:$L$1001,B716)&gt;0,"Closed",IF(K716="","Open",IF(K716&lt;NOW(),"Overdue","Open"))),IF(C716="return",IF(OR(L716="",COUNTIF($B$2:$B$1001,L716)=0),"No match",IF(OR(M716="worn",M716="damaged"),"Quarantine","Returned")),IF(C716="issue","Issued",IF(C716="transfer","Moved",IF(C716="write_off","Written off",IF(C716="unfilled","Unfilled",""))))))))</f>
      </c>
      <c r="B716" s="31"/>
      <c r="C716" s="35"/>
      <c r="D716" s="33"/>
      <c r="E716" s="31"/>
      <c r="F716" s="31"/>
      <c r="G716" s="37">
        <f>IF(F716="","",IF(ISNA(MATCH(F716,'Item master'!$A$2:$A$301,0)),"Not in Item master",IFERROR(INDEX('Item master'!$B$2:$B$301,MATCH(F716,'Item master'!$A$2:$A$301,0))&amp;"","")))</f>
      </c>
      <c r="H716" s="34"/>
      <c r="I716" s="31"/>
      <c r="J716" s="31"/>
      <c r="K716" s="33"/>
      <c r="L716" s="31"/>
      <c r="M716" s="35"/>
      <c r="N716" s="30"/>
      <c r="O716" s="30"/>
      <c r="P716" s="36"/>
      <c r="Q716" s="38">
        <f>IF(OR(C716&lt;&gt;"loan",E716=""),"",IF(ISNA(MATCH(E716,Units!$A$2:$A$501,0)),"",IF(INDEX(Units!$E$2:$E$501,MATCH(E716,Units!$A$2:$A$501,0))="","",IF(K716="","No due date",IF(INT(K716)&gt;INDEX(Units!$E$2:$E$501,MATCH(E716,Units!$A$2:$A$501,0)),"Past cal date","OK")))))</f>
      </c>
      <c r="R716" s="37">
        <f>IF(A716="Overdue",K716+ROW()/10000000,"")</f>
      </c>
    </row>
    <row r="717">
      <c r="A717" s="38">
        <f>IF(C717="","",IF(B717="","Needs ID",IF(OR(C717="loan",C717="send_out"),IF(COUNTIF($L$2:$L$1001,B717)&gt;0,"Closed",IF(K717="","Open",IF(K717&lt;NOW(),"Overdue","Open"))),IF(C717="return",IF(OR(L717="",COUNTIF($B$2:$B$1001,L717)=0),"No match",IF(OR(M717="worn",M717="damaged"),"Quarantine","Returned")),IF(C717="issue","Issued",IF(C717="transfer","Moved",IF(C717="write_off","Written off",IF(C717="unfilled","Unfilled",""))))))))</f>
      </c>
      <c r="B717" s="31"/>
      <c r="C717" s="35"/>
      <c r="D717" s="33"/>
      <c r="E717" s="31"/>
      <c r="F717" s="31"/>
      <c r="G717" s="37">
        <f>IF(F717="","",IF(ISNA(MATCH(F717,'Item master'!$A$2:$A$301,0)),"Not in Item master",IFERROR(INDEX('Item master'!$B$2:$B$301,MATCH(F717,'Item master'!$A$2:$A$301,0))&amp;"","")))</f>
      </c>
      <c r="H717" s="34"/>
      <c r="I717" s="31"/>
      <c r="J717" s="31"/>
      <c r="K717" s="33"/>
      <c r="L717" s="31"/>
      <c r="M717" s="35"/>
      <c r="N717" s="30"/>
      <c r="O717" s="30"/>
      <c r="P717" s="36"/>
      <c r="Q717" s="38">
        <f>IF(OR(C717&lt;&gt;"loan",E717=""),"",IF(ISNA(MATCH(E717,Units!$A$2:$A$501,0)),"",IF(INDEX(Units!$E$2:$E$501,MATCH(E717,Units!$A$2:$A$501,0))="","",IF(K717="","No due date",IF(INT(K717)&gt;INDEX(Units!$E$2:$E$501,MATCH(E717,Units!$A$2:$A$501,0)),"Past cal date","OK")))))</f>
      </c>
      <c r="R717" s="37">
        <f>IF(A717="Overdue",K717+ROW()/10000000,"")</f>
      </c>
    </row>
    <row r="718">
      <c r="A718" s="38">
        <f>IF(C718="","",IF(B718="","Needs ID",IF(OR(C718="loan",C718="send_out"),IF(COUNTIF($L$2:$L$1001,B718)&gt;0,"Closed",IF(K718="","Open",IF(K718&lt;NOW(),"Overdue","Open"))),IF(C718="return",IF(OR(L718="",COUNTIF($B$2:$B$1001,L718)=0),"No match",IF(OR(M718="worn",M718="damaged"),"Quarantine","Returned")),IF(C718="issue","Issued",IF(C718="transfer","Moved",IF(C718="write_off","Written off",IF(C718="unfilled","Unfilled",""))))))))</f>
      </c>
      <c r="B718" s="31"/>
      <c r="C718" s="35"/>
      <c r="D718" s="33"/>
      <c r="E718" s="31"/>
      <c r="F718" s="31"/>
      <c r="G718" s="37">
        <f>IF(F718="","",IF(ISNA(MATCH(F718,'Item master'!$A$2:$A$301,0)),"Not in Item master",IFERROR(INDEX('Item master'!$B$2:$B$301,MATCH(F718,'Item master'!$A$2:$A$301,0))&amp;"","")))</f>
      </c>
      <c r="H718" s="34"/>
      <c r="I718" s="31"/>
      <c r="J718" s="31"/>
      <c r="K718" s="33"/>
      <c r="L718" s="31"/>
      <c r="M718" s="35"/>
      <c r="N718" s="30"/>
      <c r="O718" s="30"/>
      <c r="P718" s="36"/>
      <c r="Q718" s="38">
        <f>IF(OR(C718&lt;&gt;"loan",E718=""),"",IF(ISNA(MATCH(E718,Units!$A$2:$A$501,0)),"",IF(INDEX(Units!$E$2:$E$501,MATCH(E718,Units!$A$2:$A$501,0))="","",IF(K718="","No due date",IF(INT(K718)&gt;INDEX(Units!$E$2:$E$501,MATCH(E718,Units!$A$2:$A$501,0)),"Past cal date","OK")))))</f>
      </c>
      <c r="R718" s="37">
        <f>IF(A718="Overdue",K718+ROW()/10000000,"")</f>
      </c>
    </row>
    <row r="719">
      <c r="A719" s="38">
        <f>IF(C719="","",IF(B719="","Needs ID",IF(OR(C719="loan",C719="send_out"),IF(COUNTIF($L$2:$L$1001,B719)&gt;0,"Closed",IF(K719="","Open",IF(K719&lt;NOW(),"Overdue","Open"))),IF(C719="return",IF(OR(L719="",COUNTIF($B$2:$B$1001,L719)=0),"No match",IF(OR(M719="worn",M719="damaged"),"Quarantine","Returned")),IF(C719="issue","Issued",IF(C719="transfer","Moved",IF(C719="write_off","Written off",IF(C719="unfilled","Unfilled",""))))))))</f>
      </c>
      <c r="B719" s="31"/>
      <c r="C719" s="35"/>
      <c r="D719" s="33"/>
      <c r="E719" s="31"/>
      <c r="F719" s="31"/>
      <c r="G719" s="37">
        <f>IF(F719="","",IF(ISNA(MATCH(F719,'Item master'!$A$2:$A$301,0)),"Not in Item master",IFERROR(INDEX('Item master'!$B$2:$B$301,MATCH(F719,'Item master'!$A$2:$A$301,0))&amp;"","")))</f>
      </c>
      <c r="H719" s="34"/>
      <c r="I719" s="31"/>
      <c r="J719" s="31"/>
      <c r="K719" s="33"/>
      <c r="L719" s="31"/>
      <c r="M719" s="35"/>
      <c r="N719" s="30"/>
      <c r="O719" s="30"/>
      <c r="P719" s="36"/>
      <c r="Q719" s="38">
        <f>IF(OR(C719&lt;&gt;"loan",E719=""),"",IF(ISNA(MATCH(E719,Units!$A$2:$A$501,0)),"",IF(INDEX(Units!$E$2:$E$501,MATCH(E719,Units!$A$2:$A$501,0))="","",IF(K719="","No due date",IF(INT(K719)&gt;INDEX(Units!$E$2:$E$501,MATCH(E719,Units!$A$2:$A$501,0)),"Past cal date","OK")))))</f>
      </c>
      <c r="R719" s="37">
        <f>IF(A719="Overdue",K719+ROW()/10000000,"")</f>
      </c>
    </row>
    <row r="720">
      <c r="A720" s="38">
        <f>IF(C720="","",IF(B720="","Needs ID",IF(OR(C720="loan",C720="send_out"),IF(COUNTIF($L$2:$L$1001,B720)&gt;0,"Closed",IF(K720="","Open",IF(K720&lt;NOW(),"Overdue","Open"))),IF(C720="return",IF(OR(L720="",COUNTIF($B$2:$B$1001,L720)=0),"No match",IF(OR(M720="worn",M720="damaged"),"Quarantine","Returned")),IF(C720="issue","Issued",IF(C720="transfer","Moved",IF(C720="write_off","Written off",IF(C720="unfilled","Unfilled",""))))))))</f>
      </c>
      <c r="B720" s="31"/>
      <c r="C720" s="35"/>
      <c r="D720" s="33"/>
      <c r="E720" s="31"/>
      <c r="F720" s="31"/>
      <c r="G720" s="37">
        <f>IF(F720="","",IF(ISNA(MATCH(F720,'Item master'!$A$2:$A$301,0)),"Not in Item master",IFERROR(INDEX('Item master'!$B$2:$B$301,MATCH(F720,'Item master'!$A$2:$A$301,0))&amp;"","")))</f>
      </c>
      <c r="H720" s="34"/>
      <c r="I720" s="31"/>
      <c r="J720" s="31"/>
      <c r="K720" s="33"/>
      <c r="L720" s="31"/>
      <c r="M720" s="35"/>
      <c r="N720" s="30"/>
      <c r="O720" s="30"/>
      <c r="P720" s="36"/>
      <c r="Q720" s="38">
        <f>IF(OR(C720&lt;&gt;"loan",E720=""),"",IF(ISNA(MATCH(E720,Units!$A$2:$A$501,0)),"",IF(INDEX(Units!$E$2:$E$501,MATCH(E720,Units!$A$2:$A$501,0))="","",IF(K720="","No due date",IF(INT(K720)&gt;INDEX(Units!$E$2:$E$501,MATCH(E720,Units!$A$2:$A$501,0)),"Past cal date","OK")))))</f>
      </c>
      <c r="R720" s="37">
        <f>IF(A720="Overdue",K720+ROW()/10000000,"")</f>
      </c>
    </row>
    <row r="721">
      <c r="A721" s="38">
        <f>IF(C721="","",IF(B721="","Needs ID",IF(OR(C721="loan",C721="send_out"),IF(COUNTIF($L$2:$L$1001,B721)&gt;0,"Closed",IF(K721="","Open",IF(K721&lt;NOW(),"Overdue","Open"))),IF(C721="return",IF(OR(L721="",COUNTIF($B$2:$B$1001,L721)=0),"No match",IF(OR(M721="worn",M721="damaged"),"Quarantine","Returned")),IF(C721="issue","Issued",IF(C721="transfer","Moved",IF(C721="write_off","Written off",IF(C721="unfilled","Unfilled",""))))))))</f>
      </c>
      <c r="B721" s="31"/>
      <c r="C721" s="35"/>
      <c r="D721" s="33"/>
      <c r="E721" s="31"/>
      <c r="F721" s="31"/>
      <c r="G721" s="37">
        <f>IF(F721="","",IF(ISNA(MATCH(F721,'Item master'!$A$2:$A$301,0)),"Not in Item master",IFERROR(INDEX('Item master'!$B$2:$B$301,MATCH(F721,'Item master'!$A$2:$A$301,0))&amp;"","")))</f>
      </c>
      <c r="H721" s="34"/>
      <c r="I721" s="31"/>
      <c r="J721" s="31"/>
      <c r="K721" s="33"/>
      <c r="L721" s="31"/>
      <c r="M721" s="35"/>
      <c r="N721" s="30"/>
      <c r="O721" s="30"/>
      <c r="P721" s="36"/>
      <c r="Q721" s="38">
        <f>IF(OR(C721&lt;&gt;"loan",E721=""),"",IF(ISNA(MATCH(E721,Units!$A$2:$A$501,0)),"",IF(INDEX(Units!$E$2:$E$501,MATCH(E721,Units!$A$2:$A$501,0))="","",IF(K721="","No due date",IF(INT(K721)&gt;INDEX(Units!$E$2:$E$501,MATCH(E721,Units!$A$2:$A$501,0)),"Past cal date","OK")))))</f>
      </c>
      <c r="R721" s="37">
        <f>IF(A721="Overdue",K721+ROW()/10000000,"")</f>
      </c>
    </row>
    <row r="722">
      <c r="A722" s="38">
        <f>IF(C722="","",IF(B722="","Needs ID",IF(OR(C722="loan",C722="send_out"),IF(COUNTIF($L$2:$L$1001,B722)&gt;0,"Closed",IF(K722="","Open",IF(K722&lt;NOW(),"Overdue","Open"))),IF(C722="return",IF(OR(L722="",COUNTIF($B$2:$B$1001,L722)=0),"No match",IF(OR(M722="worn",M722="damaged"),"Quarantine","Returned")),IF(C722="issue","Issued",IF(C722="transfer","Moved",IF(C722="write_off","Written off",IF(C722="unfilled","Unfilled",""))))))))</f>
      </c>
      <c r="B722" s="31"/>
      <c r="C722" s="35"/>
      <c r="D722" s="33"/>
      <c r="E722" s="31"/>
      <c r="F722" s="31"/>
      <c r="G722" s="37">
        <f>IF(F722="","",IF(ISNA(MATCH(F722,'Item master'!$A$2:$A$301,0)),"Not in Item master",IFERROR(INDEX('Item master'!$B$2:$B$301,MATCH(F722,'Item master'!$A$2:$A$301,0))&amp;"","")))</f>
      </c>
      <c r="H722" s="34"/>
      <c r="I722" s="31"/>
      <c r="J722" s="31"/>
      <c r="K722" s="33"/>
      <c r="L722" s="31"/>
      <c r="M722" s="35"/>
      <c r="N722" s="30"/>
      <c r="O722" s="30"/>
      <c r="P722" s="36"/>
      <c r="Q722" s="38">
        <f>IF(OR(C722&lt;&gt;"loan",E722=""),"",IF(ISNA(MATCH(E722,Units!$A$2:$A$501,0)),"",IF(INDEX(Units!$E$2:$E$501,MATCH(E722,Units!$A$2:$A$501,0))="","",IF(K722="","No due date",IF(INT(K722)&gt;INDEX(Units!$E$2:$E$501,MATCH(E722,Units!$A$2:$A$501,0)),"Past cal date","OK")))))</f>
      </c>
      <c r="R722" s="37">
        <f>IF(A722="Overdue",K722+ROW()/10000000,"")</f>
      </c>
    </row>
    <row r="723">
      <c r="A723" s="38">
        <f>IF(C723="","",IF(B723="","Needs ID",IF(OR(C723="loan",C723="send_out"),IF(COUNTIF($L$2:$L$1001,B723)&gt;0,"Closed",IF(K723="","Open",IF(K723&lt;NOW(),"Overdue","Open"))),IF(C723="return",IF(OR(L723="",COUNTIF($B$2:$B$1001,L723)=0),"No match",IF(OR(M723="worn",M723="damaged"),"Quarantine","Returned")),IF(C723="issue","Issued",IF(C723="transfer","Moved",IF(C723="write_off","Written off",IF(C723="unfilled","Unfilled",""))))))))</f>
      </c>
      <c r="B723" s="31"/>
      <c r="C723" s="35"/>
      <c r="D723" s="33"/>
      <c r="E723" s="31"/>
      <c r="F723" s="31"/>
      <c r="G723" s="37">
        <f>IF(F723="","",IF(ISNA(MATCH(F723,'Item master'!$A$2:$A$301,0)),"Not in Item master",IFERROR(INDEX('Item master'!$B$2:$B$301,MATCH(F723,'Item master'!$A$2:$A$301,0))&amp;"","")))</f>
      </c>
      <c r="H723" s="34"/>
      <c r="I723" s="31"/>
      <c r="J723" s="31"/>
      <c r="K723" s="33"/>
      <c r="L723" s="31"/>
      <c r="M723" s="35"/>
      <c r="N723" s="30"/>
      <c r="O723" s="30"/>
      <c r="P723" s="36"/>
      <c r="Q723" s="38">
        <f>IF(OR(C723&lt;&gt;"loan",E723=""),"",IF(ISNA(MATCH(E723,Units!$A$2:$A$501,0)),"",IF(INDEX(Units!$E$2:$E$501,MATCH(E723,Units!$A$2:$A$501,0))="","",IF(K723="","No due date",IF(INT(K723)&gt;INDEX(Units!$E$2:$E$501,MATCH(E723,Units!$A$2:$A$501,0)),"Past cal date","OK")))))</f>
      </c>
      <c r="R723" s="37">
        <f>IF(A723="Overdue",K723+ROW()/10000000,"")</f>
      </c>
    </row>
    <row r="724">
      <c r="A724" s="38">
        <f>IF(C724="","",IF(B724="","Needs ID",IF(OR(C724="loan",C724="send_out"),IF(COUNTIF($L$2:$L$1001,B724)&gt;0,"Closed",IF(K724="","Open",IF(K724&lt;NOW(),"Overdue","Open"))),IF(C724="return",IF(OR(L724="",COUNTIF($B$2:$B$1001,L724)=0),"No match",IF(OR(M724="worn",M724="damaged"),"Quarantine","Returned")),IF(C724="issue","Issued",IF(C724="transfer","Moved",IF(C724="write_off","Written off",IF(C724="unfilled","Unfilled",""))))))))</f>
      </c>
      <c r="B724" s="31"/>
      <c r="C724" s="35"/>
      <c r="D724" s="33"/>
      <c r="E724" s="31"/>
      <c r="F724" s="31"/>
      <c r="G724" s="37">
        <f>IF(F724="","",IF(ISNA(MATCH(F724,'Item master'!$A$2:$A$301,0)),"Not in Item master",IFERROR(INDEX('Item master'!$B$2:$B$301,MATCH(F724,'Item master'!$A$2:$A$301,0))&amp;"","")))</f>
      </c>
      <c r="H724" s="34"/>
      <c r="I724" s="31"/>
      <c r="J724" s="31"/>
      <c r="K724" s="33"/>
      <c r="L724" s="31"/>
      <c r="M724" s="35"/>
      <c r="N724" s="30"/>
      <c r="O724" s="30"/>
      <c r="P724" s="36"/>
      <c r="Q724" s="38">
        <f>IF(OR(C724&lt;&gt;"loan",E724=""),"",IF(ISNA(MATCH(E724,Units!$A$2:$A$501,0)),"",IF(INDEX(Units!$E$2:$E$501,MATCH(E724,Units!$A$2:$A$501,0))="","",IF(K724="","No due date",IF(INT(K724)&gt;INDEX(Units!$E$2:$E$501,MATCH(E724,Units!$A$2:$A$501,0)),"Past cal date","OK")))))</f>
      </c>
      <c r="R724" s="37">
        <f>IF(A724="Overdue",K724+ROW()/10000000,"")</f>
      </c>
    </row>
    <row r="725">
      <c r="A725" s="38">
        <f>IF(C725="","",IF(B725="","Needs ID",IF(OR(C725="loan",C725="send_out"),IF(COUNTIF($L$2:$L$1001,B725)&gt;0,"Closed",IF(K725="","Open",IF(K725&lt;NOW(),"Overdue","Open"))),IF(C725="return",IF(OR(L725="",COUNTIF($B$2:$B$1001,L725)=0),"No match",IF(OR(M725="worn",M725="damaged"),"Quarantine","Returned")),IF(C725="issue","Issued",IF(C725="transfer","Moved",IF(C725="write_off","Written off",IF(C725="unfilled","Unfilled",""))))))))</f>
      </c>
      <c r="B725" s="31"/>
      <c r="C725" s="35"/>
      <c r="D725" s="33"/>
      <c r="E725" s="31"/>
      <c r="F725" s="31"/>
      <c r="G725" s="37">
        <f>IF(F725="","",IF(ISNA(MATCH(F725,'Item master'!$A$2:$A$301,0)),"Not in Item master",IFERROR(INDEX('Item master'!$B$2:$B$301,MATCH(F725,'Item master'!$A$2:$A$301,0))&amp;"","")))</f>
      </c>
      <c r="H725" s="34"/>
      <c r="I725" s="31"/>
      <c r="J725" s="31"/>
      <c r="K725" s="33"/>
      <c r="L725" s="31"/>
      <c r="M725" s="35"/>
      <c r="N725" s="30"/>
      <c r="O725" s="30"/>
      <c r="P725" s="36"/>
      <c r="Q725" s="38">
        <f>IF(OR(C725&lt;&gt;"loan",E725=""),"",IF(ISNA(MATCH(E725,Units!$A$2:$A$501,0)),"",IF(INDEX(Units!$E$2:$E$501,MATCH(E725,Units!$A$2:$A$501,0))="","",IF(K725="","No due date",IF(INT(K725)&gt;INDEX(Units!$E$2:$E$501,MATCH(E725,Units!$A$2:$A$501,0)),"Past cal date","OK")))))</f>
      </c>
      <c r="R725" s="37">
        <f>IF(A725="Overdue",K725+ROW()/10000000,"")</f>
      </c>
    </row>
    <row r="726">
      <c r="A726" s="38">
        <f>IF(C726="","",IF(B726="","Needs ID",IF(OR(C726="loan",C726="send_out"),IF(COUNTIF($L$2:$L$1001,B726)&gt;0,"Closed",IF(K726="","Open",IF(K726&lt;NOW(),"Overdue","Open"))),IF(C726="return",IF(OR(L726="",COUNTIF($B$2:$B$1001,L726)=0),"No match",IF(OR(M726="worn",M726="damaged"),"Quarantine","Returned")),IF(C726="issue","Issued",IF(C726="transfer","Moved",IF(C726="write_off","Written off",IF(C726="unfilled","Unfilled",""))))))))</f>
      </c>
      <c r="B726" s="31"/>
      <c r="C726" s="35"/>
      <c r="D726" s="33"/>
      <c r="E726" s="31"/>
      <c r="F726" s="31"/>
      <c r="G726" s="37">
        <f>IF(F726="","",IF(ISNA(MATCH(F726,'Item master'!$A$2:$A$301,0)),"Not in Item master",IFERROR(INDEX('Item master'!$B$2:$B$301,MATCH(F726,'Item master'!$A$2:$A$301,0))&amp;"","")))</f>
      </c>
      <c r="H726" s="34"/>
      <c r="I726" s="31"/>
      <c r="J726" s="31"/>
      <c r="K726" s="33"/>
      <c r="L726" s="31"/>
      <c r="M726" s="35"/>
      <c r="N726" s="30"/>
      <c r="O726" s="30"/>
      <c r="P726" s="36"/>
      <c r="Q726" s="38">
        <f>IF(OR(C726&lt;&gt;"loan",E726=""),"",IF(ISNA(MATCH(E726,Units!$A$2:$A$501,0)),"",IF(INDEX(Units!$E$2:$E$501,MATCH(E726,Units!$A$2:$A$501,0))="","",IF(K726="","No due date",IF(INT(K726)&gt;INDEX(Units!$E$2:$E$501,MATCH(E726,Units!$A$2:$A$501,0)),"Past cal date","OK")))))</f>
      </c>
      <c r="R726" s="37">
        <f>IF(A726="Overdue",K726+ROW()/10000000,"")</f>
      </c>
    </row>
    <row r="727">
      <c r="A727" s="38">
        <f>IF(C727="","",IF(B727="","Needs ID",IF(OR(C727="loan",C727="send_out"),IF(COUNTIF($L$2:$L$1001,B727)&gt;0,"Closed",IF(K727="","Open",IF(K727&lt;NOW(),"Overdue","Open"))),IF(C727="return",IF(OR(L727="",COUNTIF($B$2:$B$1001,L727)=0),"No match",IF(OR(M727="worn",M727="damaged"),"Quarantine","Returned")),IF(C727="issue","Issued",IF(C727="transfer","Moved",IF(C727="write_off","Written off",IF(C727="unfilled","Unfilled",""))))))))</f>
      </c>
      <c r="B727" s="31"/>
      <c r="C727" s="35"/>
      <c r="D727" s="33"/>
      <c r="E727" s="31"/>
      <c r="F727" s="31"/>
      <c r="G727" s="37">
        <f>IF(F727="","",IF(ISNA(MATCH(F727,'Item master'!$A$2:$A$301,0)),"Not in Item master",IFERROR(INDEX('Item master'!$B$2:$B$301,MATCH(F727,'Item master'!$A$2:$A$301,0))&amp;"","")))</f>
      </c>
      <c r="H727" s="34"/>
      <c r="I727" s="31"/>
      <c r="J727" s="31"/>
      <c r="K727" s="33"/>
      <c r="L727" s="31"/>
      <c r="M727" s="35"/>
      <c r="N727" s="30"/>
      <c r="O727" s="30"/>
      <c r="P727" s="36"/>
      <c r="Q727" s="38">
        <f>IF(OR(C727&lt;&gt;"loan",E727=""),"",IF(ISNA(MATCH(E727,Units!$A$2:$A$501,0)),"",IF(INDEX(Units!$E$2:$E$501,MATCH(E727,Units!$A$2:$A$501,0))="","",IF(K727="","No due date",IF(INT(K727)&gt;INDEX(Units!$E$2:$E$501,MATCH(E727,Units!$A$2:$A$501,0)),"Past cal date","OK")))))</f>
      </c>
      <c r="R727" s="37">
        <f>IF(A727="Overdue",K727+ROW()/10000000,"")</f>
      </c>
    </row>
    <row r="728">
      <c r="A728" s="38">
        <f>IF(C728="","",IF(B728="","Needs ID",IF(OR(C728="loan",C728="send_out"),IF(COUNTIF($L$2:$L$1001,B728)&gt;0,"Closed",IF(K728="","Open",IF(K728&lt;NOW(),"Overdue","Open"))),IF(C728="return",IF(OR(L728="",COUNTIF($B$2:$B$1001,L728)=0),"No match",IF(OR(M728="worn",M728="damaged"),"Quarantine","Returned")),IF(C728="issue","Issued",IF(C728="transfer","Moved",IF(C728="write_off","Written off",IF(C728="unfilled","Unfilled",""))))))))</f>
      </c>
      <c r="B728" s="31"/>
      <c r="C728" s="35"/>
      <c r="D728" s="33"/>
      <c r="E728" s="31"/>
      <c r="F728" s="31"/>
      <c r="G728" s="37">
        <f>IF(F728="","",IF(ISNA(MATCH(F728,'Item master'!$A$2:$A$301,0)),"Not in Item master",IFERROR(INDEX('Item master'!$B$2:$B$301,MATCH(F728,'Item master'!$A$2:$A$301,0))&amp;"","")))</f>
      </c>
      <c r="H728" s="34"/>
      <c r="I728" s="31"/>
      <c r="J728" s="31"/>
      <c r="K728" s="33"/>
      <c r="L728" s="31"/>
      <c r="M728" s="35"/>
      <c r="N728" s="30"/>
      <c r="O728" s="30"/>
      <c r="P728" s="36"/>
      <c r="Q728" s="38">
        <f>IF(OR(C728&lt;&gt;"loan",E728=""),"",IF(ISNA(MATCH(E728,Units!$A$2:$A$501,0)),"",IF(INDEX(Units!$E$2:$E$501,MATCH(E728,Units!$A$2:$A$501,0))="","",IF(K728="","No due date",IF(INT(K728)&gt;INDEX(Units!$E$2:$E$501,MATCH(E728,Units!$A$2:$A$501,0)),"Past cal date","OK")))))</f>
      </c>
      <c r="R728" s="37">
        <f>IF(A728="Overdue",K728+ROW()/10000000,"")</f>
      </c>
    </row>
    <row r="729">
      <c r="A729" s="38">
        <f>IF(C729="","",IF(B729="","Needs ID",IF(OR(C729="loan",C729="send_out"),IF(COUNTIF($L$2:$L$1001,B729)&gt;0,"Closed",IF(K729="","Open",IF(K729&lt;NOW(),"Overdue","Open"))),IF(C729="return",IF(OR(L729="",COUNTIF($B$2:$B$1001,L729)=0),"No match",IF(OR(M729="worn",M729="damaged"),"Quarantine","Returned")),IF(C729="issue","Issued",IF(C729="transfer","Moved",IF(C729="write_off","Written off",IF(C729="unfilled","Unfilled",""))))))))</f>
      </c>
      <c r="B729" s="31"/>
      <c r="C729" s="35"/>
      <c r="D729" s="33"/>
      <c r="E729" s="31"/>
      <c r="F729" s="31"/>
      <c r="G729" s="37">
        <f>IF(F729="","",IF(ISNA(MATCH(F729,'Item master'!$A$2:$A$301,0)),"Not in Item master",IFERROR(INDEX('Item master'!$B$2:$B$301,MATCH(F729,'Item master'!$A$2:$A$301,0))&amp;"","")))</f>
      </c>
      <c r="H729" s="34"/>
      <c r="I729" s="31"/>
      <c r="J729" s="31"/>
      <c r="K729" s="33"/>
      <c r="L729" s="31"/>
      <c r="M729" s="35"/>
      <c r="N729" s="30"/>
      <c r="O729" s="30"/>
      <c r="P729" s="36"/>
      <c r="Q729" s="38">
        <f>IF(OR(C729&lt;&gt;"loan",E729=""),"",IF(ISNA(MATCH(E729,Units!$A$2:$A$501,0)),"",IF(INDEX(Units!$E$2:$E$501,MATCH(E729,Units!$A$2:$A$501,0))="","",IF(K729="","No due date",IF(INT(K729)&gt;INDEX(Units!$E$2:$E$501,MATCH(E729,Units!$A$2:$A$501,0)),"Past cal date","OK")))))</f>
      </c>
      <c r="R729" s="37">
        <f>IF(A729="Overdue",K729+ROW()/10000000,"")</f>
      </c>
    </row>
    <row r="730">
      <c r="A730" s="38">
        <f>IF(C730="","",IF(B730="","Needs ID",IF(OR(C730="loan",C730="send_out"),IF(COUNTIF($L$2:$L$1001,B730)&gt;0,"Closed",IF(K730="","Open",IF(K730&lt;NOW(),"Overdue","Open"))),IF(C730="return",IF(OR(L730="",COUNTIF($B$2:$B$1001,L730)=0),"No match",IF(OR(M730="worn",M730="damaged"),"Quarantine","Returned")),IF(C730="issue","Issued",IF(C730="transfer","Moved",IF(C730="write_off","Written off",IF(C730="unfilled","Unfilled",""))))))))</f>
      </c>
      <c r="B730" s="31"/>
      <c r="C730" s="35"/>
      <c r="D730" s="33"/>
      <c r="E730" s="31"/>
      <c r="F730" s="31"/>
      <c r="G730" s="37">
        <f>IF(F730="","",IF(ISNA(MATCH(F730,'Item master'!$A$2:$A$301,0)),"Not in Item master",IFERROR(INDEX('Item master'!$B$2:$B$301,MATCH(F730,'Item master'!$A$2:$A$301,0))&amp;"","")))</f>
      </c>
      <c r="H730" s="34"/>
      <c r="I730" s="31"/>
      <c r="J730" s="31"/>
      <c r="K730" s="33"/>
      <c r="L730" s="31"/>
      <c r="M730" s="35"/>
      <c r="N730" s="30"/>
      <c r="O730" s="30"/>
      <c r="P730" s="36"/>
      <c r="Q730" s="38">
        <f>IF(OR(C730&lt;&gt;"loan",E730=""),"",IF(ISNA(MATCH(E730,Units!$A$2:$A$501,0)),"",IF(INDEX(Units!$E$2:$E$501,MATCH(E730,Units!$A$2:$A$501,0))="","",IF(K730="","No due date",IF(INT(K730)&gt;INDEX(Units!$E$2:$E$501,MATCH(E730,Units!$A$2:$A$501,0)),"Past cal date","OK")))))</f>
      </c>
      <c r="R730" s="37">
        <f>IF(A730="Overdue",K730+ROW()/10000000,"")</f>
      </c>
    </row>
    <row r="731">
      <c r="A731" s="38">
        <f>IF(C731="","",IF(B731="","Needs ID",IF(OR(C731="loan",C731="send_out"),IF(COUNTIF($L$2:$L$1001,B731)&gt;0,"Closed",IF(K731="","Open",IF(K731&lt;NOW(),"Overdue","Open"))),IF(C731="return",IF(OR(L731="",COUNTIF($B$2:$B$1001,L731)=0),"No match",IF(OR(M731="worn",M731="damaged"),"Quarantine","Returned")),IF(C731="issue","Issued",IF(C731="transfer","Moved",IF(C731="write_off","Written off",IF(C731="unfilled","Unfilled",""))))))))</f>
      </c>
      <c r="B731" s="31"/>
      <c r="C731" s="35"/>
      <c r="D731" s="33"/>
      <c r="E731" s="31"/>
      <c r="F731" s="31"/>
      <c r="G731" s="37">
        <f>IF(F731="","",IF(ISNA(MATCH(F731,'Item master'!$A$2:$A$301,0)),"Not in Item master",IFERROR(INDEX('Item master'!$B$2:$B$301,MATCH(F731,'Item master'!$A$2:$A$301,0))&amp;"","")))</f>
      </c>
      <c r="H731" s="34"/>
      <c r="I731" s="31"/>
      <c r="J731" s="31"/>
      <c r="K731" s="33"/>
      <c r="L731" s="31"/>
      <c r="M731" s="35"/>
      <c r="N731" s="30"/>
      <c r="O731" s="30"/>
      <c r="P731" s="36"/>
      <c r="Q731" s="38">
        <f>IF(OR(C731&lt;&gt;"loan",E731=""),"",IF(ISNA(MATCH(E731,Units!$A$2:$A$501,0)),"",IF(INDEX(Units!$E$2:$E$501,MATCH(E731,Units!$A$2:$A$501,0))="","",IF(K731="","No due date",IF(INT(K731)&gt;INDEX(Units!$E$2:$E$501,MATCH(E731,Units!$A$2:$A$501,0)),"Past cal date","OK")))))</f>
      </c>
      <c r="R731" s="37">
        <f>IF(A731="Overdue",K731+ROW()/10000000,"")</f>
      </c>
    </row>
    <row r="732">
      <c r="A732" s="38">
        <f>IF(C732="","",IF(B732="","Needs ID",IF(OR(C732="loan",C732="send_out"),IF(COUNTIF($L$2:$L$1001,B732)&gt;0,"Closed",IF(K732="","Open",IF(K732&lt;NOW(),"Overdue","Open"))),IF(C732="return",IF(OR(L732="",COUNTIF($B$2:$B$1001,L732)=0),"No match",IF(OR(M732="worn",M732="damaged"),"Quarantine","Returned")),IF(C732="issue","Issued",IF(C732="transfer","Moved",IF(C732="write_off","Written off",IF(C732="unfilled","Unfilled",""))))))))</f>
      </c>
      <c r="B732" s="31"/>
      <c r="C732" s="35"/>
      <c r="D732" s="33"/>
      <c r="E732" s="31"/>
      <c r="F732" s="31"/>
      <c r="G732" s="37">
        <f>IF(F732="","",IF(ISNA(MATCH(F732,'Item master'!$A$2:$A$301,0)),"Not in Item master",IFERROR(INDEX('Item master'!$B$2:$B$301,MATCH(F732,'Item master'!$A$2:$A$301,0))&amp;"","")))</f>
      </c>
      <c r="H732" s="34"/>
      <c r="I732" s="31"/>
      <c r="J732" s="31"/>
      <c r="K732" s="33"/>
      <c r="L732" s="31"/>
      <c r="M732" s="35"/>
      <c r="N732" s="30"/>
      <c r="O732" s="30"/>
      <c r="P732" s="36"/>
      <c r="Q732" s="38">
        <f>IF(OR(C732&lt;&gt;"loan",E732=""),"",IF(ISNA(MATCH(E732,Units!$A$2:$A$501,0)),"",IF(INDEX(Units!$E$2:$E$501,MATCH(E732,Units!$A$2:$A$501,0))="","",IF(K732="","No due date",IF(INT(K732)&gt;INDEX(Units!$E$2:$E$501,MATCH(E732,Units!$A$2:$A$501,0)),"Past cal date","OK")))))</f>
      </c>
      <c r="R732" s="37">
        <f>IF(A732="Overdue",K732+ROW()/10000000,"")</f>
      </c>
    </row>
    <row r="733">
      <c r="A733" s="38">
        <f>IF(C733="","",IF(B733="","Needs ID",IF(OR(C733="loan",C733="send_out"),IF(COUNTIF($L$2:$L$1001,B733)&gt;0,"Closed",IF(K733="","Open",IF(K733&lt;NOW(),"Overdue","Open"))),IF(C733="return",IF(OR(L733="",COUNTIF($B$2:$B$1001,L733)=0),"No match",IF(OR(M733="worn",M733="damaged"),"Quarantine","Returned")),IF(C733="issue","Issued",IF(C733="transfer","Moved",IF(C733="write_off","Written off",IF(C733="unfilled","Unfilled",""))))))))</f>
      </c>
      <c r="B733" s="31"/>
      <c r="C733" s="35"/>
      <c r="D733" s="33"/>
      <c r="E733" s="31"/>
      <c r="F733" s="31"/>
      <c r="G733" s="37">
        <f>IF(F733="","",IF(ISNA(MATCH(F733,'Item master'!$A$2:$A$301,0)),"Not in Item master",IFERROR(INDEX('Item master'!$B$2:$B$301,MATCH(F733,'Item master'!$A$2:$A$301,0))&amp;"","")))</f>
      </c>
      <c r="H733" s="34"/>
      <c r="I733" s="31"/>
      <c r="J733" s="31"/>
      <c r="K733" s="33"/>
      <c r="L733" s="31"/>
      <c r="M733" s="35"/>
      <c r="N733" s="30"/>
      <c r="O733" s="30"/>
      <c r="P733" s="36"/>
      <c r="Q733" s="38">
        <f>IF(OR(C733&lt;&gt;"loan",E733=""),"",IF(ISNA(MATCH(E733,Units!$A$2:$A$501,0)),"",IF(INDEX(Units!$E$2:$E$501,MATCH(E733,Units!$A$2:$A$501,0))="","",IF(K733="","No due date",IF(INT(K733)&gt;INDEX(Units!$E$2:$E$501,MATCH(E733,Units!$A$2:$A$501,0)),"Past cal date","OK")))))</f>
      </c>
      <c r="R733" s="37">
        <f>IF(A733="Overdue",K733+ROW()/10000000,"")</f>
      </c>
    </row>
    <row r="734">
      <c r="A734" s="38">
        <f>IF(C734="","",IF(B734="","Needs ID",IF(OR(C734="loan",C734="send_out"),IF(COUNTIF($L$2:$L$1001,B734)&gt;0,"Closed",IF(K734="","Open",IF(K734&lt;NOW(),"Overdue","Open"))),IF(C734="return",IF(OR(L734="",COUNTIF($B$2:$B$1001,L734)=0),"No match",IF(OR(M734="worn",M734="damaged"),"Quarantine","Returned")),IF(C734="issue","Issued",IF(C734="transfer","Moved",IF(C734="write_off","Written off",IF(C734="unfilled","Unfilled",""))))))))</f>
      </c>
      <c r="B734" s="31"/>
      <c r="C734" s="35"/>
      <c r="D734" s="33"/>
      <c r="E734" s="31"/>
      <c r="F734" s="31"/>
      <c r="G734" s="37">
        <f>IF(F734="","",IF(ISNA(MATCH(F734,'Item master'!$A$2:$A$301,0)),"Not in Item master",IFERROR(INDEX('Item master'!$B$2:$B$301,MATCH(F734,'Item master'!$A$2:$A$301,0))&amp;"","")))</f>
      </c>
      <c r="H734" s="34"/>
      <c r="I734" s="31"/>
      <c r="J734" s="31"/>
      <c r="K734" s="33"/>
      <c r="L734" s="31"/>
      <c r="M734" s="35"/>
      <c r="N734" s="30"/>
      <c r="O734" s="30"/>
      <c r="P734" s="36"/>
      <c r="Q734" s="38">
        <f>IF(OR(C734&lt;&gt;"loan",E734=""),"",IF(ISNA(MATCH(E734,Units!$A$2:$A$501,0)),"",IF(INDEX(Units!$E$2:$E$501,MATCH(E734,Units!$A$2:$A$501,0))="","",IF(K734="","No due date",IF(INT(K734)&gt;INDEX(Units!$E$2:$E$501,MATCH(E734,Units!$A$2:$A$501,0)),"Past cal date","OK")))))</f>
      </c>
      <c r="R734" s="37">
        <f>IF(A734="Overdue",K734+ROW()/10000000,"")</f>
      </c>
    </row>
    <row r="735">
      <c r="A735" s="38">
        <f>IF(C735="","",IF(B735="","Needs ID",IF(OR(C735="loan",C735="send_out"),IF(COUNTIF($L$2:$L$1001,B735)&gt;0,"Closed",IF(K735="","Open",IF(K735&lt;NOW(),"Overdue","Open"))),IF(C735="return",IF(OR(L735="",COUNTIF($B$2:$B$1001,L735)=0),"No match",IF(OR(M735="worn",M735="damaged"),"Quarantine","Returned")),IF(C735="issue","Issued",IF(C735="transfer","Moved",IF(C735="write_off","Written off",IF(C735="unfilled","Unfilled",""))))))))</f>
      </c>
      <c r="B735" s="31"/>
      <c r="C735" s="35"/>
      <c r="D735" s="33"/>
      <c r="E735" s="31"/>
      <c r="F735" s="31"/>
      <c r="G735" s="37">
        <f>IF(F735="","",IF(ISNA(MATCH(F735,'Item master'!$A$2:$A$301,0)),"Not in Item master",IFERROR(INDEX('Item master'!$B$2:$B$301,MATCH(F735,'Item master'!$A$2:$A$301,0))&amp;"","")))</f>
      </c>
      <c r="H735" s="34"/>
      <c r="I735" s="31"/>
      <c r="J735" s="31"/>
      <c r="K735" s="33"/>
      <c r="L735" s="31"/>
      <c r="M735" s="35"/>
      <c r="N735" s="30"/>
      <c r="O735" s="30"/>
      <c r="P735" s="36"/>
      <c r="Q735" s="38">
        <f>IF(OR(C735&lt;&gt;"loan",E735=""),"",IF(ISNA(MATCH(E735,Units!$A$2:$A$501,0)),"",IF(INDEX(Units!$E$2:$E$501,MATCH(E735,Units!$A$2:$A$501,0))="","",IF(K735="","No due date",IF(INT(K735)&gt;INDEX(Units!$E$2:$E$501,MATCH(E735,Units!$A$2:$A$501,0)),"Past cal date","OK")))))</f>
      </c>
      <c r="R735" s="37">
        <f>IF(A735="Overdue",K735+ROW()/10000000,"")</f>
      </c>
    </row>
    <row r="736">
      <c r="A736" s="38">
        <f>IF(C736="","",IF(B736="","Needs ID",IF(OR(C736="loan",C736="send_out"),IF(COUNTIF($L$2:$L$1001,B736)&gt;0,"Closed",IF(K736="","Open",IF(K736&lt;NOW(),"Overdue","Open"))),IF(C736="return",IF(OR(L736="",COUNTIF($B$2:$B$1001,L736)=0),"No match",IF(OR(M736="worn",M736="damaged"),"Quarantine","Returned")),IF(C736="issue","Issued",IF(C736="transfer","Moved",IF(C736="write_off","Written off",IF(C736="unfilled","Unfilled",""))))))))</f>
      </c>
      <c r="B736" s="31"/>
      <c r="C736" s="35"/>
      <c r="D736" s="33"/>
      <c r="E736" s="31"/>
      <c r="F736" s="31"/>
      <c r="G736" s="37">
        <f>IF(F736="","",IF(ISNA(MATCH(F736,'Item master'!$A$2:$A$301,0)),"Not in Item master",IFERROR(INDEX('Item master'!$B$2:$B$301,MATCH(F736,'Item master'!$A$2:$A$301,0))&amp;"","")))</f>
      </c>
      <c r="H736" s="34"/>
      <c r="I736" s="31"/>
      <c r="J736" s="31"/>
      <c r="K736" s="33"/>
      <c r="L736" s="31"/>
      <c r="M736" s="35"/>
      <c r="N736" s="30"/>
      <c r="O736" s="30"/>
      <c r="P736" s="36"/>
      <c r="Q736" s="38">
        <f>IF(OR(C736&lt;&gt;"loan",E736=""),"",IF(ISNA(MATCH(E736,Units!$A$2:$A$501,0)),"",IF(INDEX(Units!$E$2:$E$501,MATCH(E736,Units!$A$2:$A$501,0))="","",IF(K736="","No due date",IF(INT(K736)&gt;INDEX(Units!$E$2:$E$501,MATCH(E736,Units!$A$2:$A$501,0)),"Past cal date","OK")))))</f>
      </c>
      <c r="R736" s="37">
        <f>IF(A736="Overdue",K736+ROW()/10000000,"")</f>
      </c>
    </row>
    <row r="737">
      <c r="A737" s="38">
        <f>IF(C737="","",IF(B737="","Needs ID",IF(OR(C737="loan",C737="send_out"),IF(COUNTIF($L$2:$L$1001,B737)&gt;0,"Closed",IF(K737="","Open",IF(K737&lt;NOW(),"Overdue","Open"))),IF(C737="return",IF(OR(L737="",COUNTIF($B$2:$B$1001,L737)=0),"No match",IF(OR(M737="worn",M737="damaged"),"Quarantine","Returned")),IF(C737="issue","Issued",IF(C737="transfer","Moved",IF(C737="write_off","Written off",IF(C737="unfilled","Unfilled",""))))))))</f>
      </c>
      <c r="B737" s="31"/>
      <c r="C737" s="35"/>
      <c r="D737" s="33"/>
      <c r="E737" s="31"/>
      <c r="F737" s="31"/>
      <c r="G737" s="37">
        <f>IF(F737="","",IF(ISNA(MATCH(F737,'Item master'!$A$2:$A$301,0)),"Not in Item master",IFERROR(INDEX('Item master'!$B$2:$B$301,MATCH(F737,'Item master'!$A$2:$A$301,0))&amp;"","")))</f>
      </c>
      <c r="H737" s="34"/>
      <c r="I737" s="31"/>
      <c r="J737" s="31"/>
      <c r="K737" s="33"/>
      <c r="L737" s="31"/>
      <c r="M737" s="35"/>
      <c r="N737" s="30"/>
      <c r="O737" s="30"/>
      <c r="P737" s="36"/>
      <c r="Q737" s="38">
        <f>IF(OR(C737&lt;&gt;"loan",E737=""),"",IF(ISNA(MATCH(E737,Units!$A$2:$A$501,0)),"",IF(INDEX(Units!$E$2:$E$501,MATCH(E737,Units!$A$2:$A$501,0))="","",IF(K737="","No due date",IF(INT(K737)&gt;INDEX(Units!$E$2:$E$501,MATCH(E737,Units!$A$2:$A$501,0)),"Past cal date","OK")))))</f>
      </c>
      <c r="R737" s="37">
        <f>IF(A737="Overdue",K737+ROW()/10000000,"")</f>
      </c>
    </row>
    <row r="738">
      <c r="A738" s="38">
        <f>IF(C738="","",IF(B738="","Needs ID",IF(OR(C738="loan",C738="send_out"),IF(COUNTIF($L$2:$L$1001,B738)&gt;0,"Closed",IF(K738="","Open",IF(K738&lt;NOW(),"Overdue","Open"))),IF(C738="return",IF(OR(L738="",COUNTIF($B$2:$B$1001,L738)=0),"No match",IF(OR(M738="worn",M738="damaged"),"Quarantine","Returned")),IF(C738="issue","Issued",IF(C738="transfer","Moved",IF(C738="write_off","Written off",IF(C738="unfilled","Unfilled",""))))))))</f>
      </c>
      <c r="B738" s="31"/>
      <c r="C738" s="35"/>
      <c r="D738" s="33"/>
      <c r="E738" s="31"/>
      <c r="F738" s="31"/>
      <c r="G738" s="37">
        <f>IF(F738="","",IF(ISNA(MATCH(F738,'Item master'!$A$2:$A$301,0)),"Not in Item master",IFERROR(INDEX('Item master'!$B$2:$B$301,MATCH(F738,'Item master'!$A$2:$A$301,0))&amp;"","")))</f>
      </c>
      <c r="H738" s="34"/>
      <c r="I738" s="31"/>
      <c r="J738" s="31"/>
      <c r="K738" s="33"/>
      <c r="L738" s="31"/>
      <c r="M738" s="35"/>
      <c r="N738" s="30"/>
      <c r="O738" s="30"/>
      <c r="P738" s="36"/>
      <c r="Q738" s="38">
        <f>IF(OR(C738&lt;&gt;"loan",E738=""),"",IF(ISNA(MATCH(E738,Units!$A$2:$A$501,0)),"",IF(INDEX(Units!$E$2:$E$501,MATCH(E738,Units!$A$2:$A$501,0))="","",IF(K738="","No due date",IF(INT(K738)&gt;INDEX(Units!$E$2:$E$501,MATCH(E738,Units!$A$2:$A$501,0)),"Past cal date","OK")))))</f>
      </c>
      <c r="R738" s="37">
        <f>IF(A738="Overdue",K738+ROW()/10000000,"")</f>
      </c>
    </row>
    <row r="739">
      <c r="A739" s="38">
        <f>IF(C739="","",IF(B739="","Needs ID",IF(OR(C739="loan",C739="send_out"),IF(COUNTIF($L$2:$L$1001,B739)&gt;0,"Closed",IF(K739="","Open",IF(K739&lt;NOW(),"Overdue","Open"))),IF(C739="return",IF(OR(L739="",COUNTIF($B$2:$B$1001,L739)=0),"No match",IF(OR(M739="worn",M739="damaged"),"Quarantine","Returned")),IF(C739="issue","Issued",IF(C739="transfer","Moved",IF(C739="write_off","Written off",IF(C739="unfilled","Unfilled",""))))))))</f>
      </c>
      <c r="B739" s="31"/>
      <c r="C739" s="35"/>
      <c r="D739" s="33"/>
      <c r="E739" s="31"/>
      <c r="F739" s="31"/>
      <c r="G739" s="37">
        <f>IF(F739="","",IF(ISNA(MATCH(F739,'Item master'!$A$2:$A$301,0)),"Not in Item master",IFERROR(INDEX('Item master'!$B$2:$B$301,MATCH(F739,'Item master'!$A$2:$A$301,0))&amp;"","")))</f>
      </c>
      <c r="H739" s="34"/>
      <c r="I739" s="31"/>
      <c r="J739" s="31"/>
      <c r="K739" s="33"/>
      <c r="L739" s="31"/>
      <c r="M739" s="35"/>
      <c r="N739" s="30"/>
      <c r="O739" s="30"/>
      <c r="P739" s="36"/>
      <c r="Q739" s="38">
        <f>IF(OR(C739&lt;&gt;"loan",E739=""),"",IF(ISNA(MATCH(E739,Units!$A$2:$A$501,0)),"",IF(INDEX(Units!$E$2:$E$501,MATCH(E739,Units!$A$2:$A$501,0))="","",IF(K739="","No due date",IF(INT(K739)&gt;INDEX(Units!$E$2:$E$501,MATCH(E739,Units!$A$2:$A$501,0)),"Past cal date","OK")))))</f>
      </c>
      <c r="R739" s="37">
        <f>IF(A739="Overdue",K739+ROW()/10000000,"")</f>
      </c>
    </row>
    <row r="740">
      <c r="A740" s="38">
        <f>IF(C740="","",IF(B740="","Needs ID",IF(OR(C740="loan",C740="send_out"),IF(COUNTIF($L$2:$L$1001,B740)&gt;0,"Closed",IF(K740="","Open",IF(K740&lt;NOW(),"Overdue","Open"))),IF(C740="return",IF(OR(L740="",COUNTIF($B$2:$B$1001,L740)=0),"No match",IF(OR(M740="worn",M740="damaged"),"Quarantine","Returned")),IF(C740="issue","Issued",IF(C740="transfer","Moved",IF(C740="write_off","Written off",IF(C740="unfilled","Unfilled",""))))))))</f>
      </c>
      <c r="B740" s="31"/>
      <c r="C740" s="35"/>
      <c r="D740" s="33"/>
      <c r="E740" s="31"/>
      <c r="F740" s="31"/>
      <c r="G740" s="37">
        <f>IF(F740="","",IF(ISNA(MATCH(F740,'Item master'!$A$2:$A$301,0)),"Not in Item master",IFERROR(INDEX('Item master'!$B$2:$B$301,MATCH(F740,'Item master'!$A$2:$A$301,0))&amp;"","")))</f>
      </c>
      <c r="H740" s="34"/>
      <c r="I740" s="31"/>
      <c r="J740" s="31"/>
      <c r="K740" s="33"/>
      <c r="L740" s="31"/>
      <c r="M740" s="35"/>
      <c r="N740" s="30"/>
      <c r="O740" s="30"/>
      <c r="P740" s="36"/>
      <c r="Q740" s="38">
        <f>IF(OR(C740&lt;&gt;"loan",E740=""),"",IF(ISNA(MATCH(E740,Units!$A$2:$A$501,0)),"",IF(INDEX(Units!$E$2:$E$501,MATCH(E740,Units!$A$2:$A$501,0))="","",IF(K740="","No due date",IF(INT(K740)&gt;INDEX(Units!$E$2:$E$501,MATCH(E740,Units!$A$2:$A$501,0)),"Past cal date","OK")))))</f>
      </c>
      <c r="R740" s="37">
        <f>IF(A740="Overdue",K740+ROW()/10000000,"")</f>
      </c>
    </row>
    <row r="741">
      <c r="A741" s="38">
        <f>IF(C741="","",IF(B741="","Needs ID",IF(OR(C741="loan",C741="send_out"),IF(COUNTIF($L$2:$L$1001,B741)&gt;0,"Closed",IF(K741="","Open",IF(K741&lt;NOW(),"Overdue","Open"))),IF(C741="return",IF(OR(L741="",COUNTIF($B$2:$B$1001,L741)=0),"No match",IF(OR(M741="worn",M741="damaged"),"Quarantine","Returned")),IF(C741="issue","Issued",IF(C741="transfer","Moved",IF(C741="write_off","Written off",IF(C741="unfilled","Unfilled",""))))))))</f>
      </c>
      <c r="B741" s="31"/>
      <c r="C741" s="35"/>
      <c r="D741" s="33"/>
      <c r="E741" s="31"/>
      <c r="F741" s="31"/>
      <c r="G741" s="37">
        <f>IF(F741="","",IF(ISNA(MATCH(F741,'Item master'!$A$2:$A$301,0)),"Not in Item master",IFERROR(INDEX('Item master'!$B$2:$B$301,MATCH(F741,'Item master'!$A$2:$A$301,0))&amp;"","")))</f>
      </c>
      <c r="H741" s="34"/>
      <c r="I741" s="31"/>
      <c r="J741" s="31"/>
      <c r="K741" s="33"/>
      <c r="L741" s="31"/>
      <c r="M741" s="35"/>
      <c r="N741" s="30"/>
      <c r="O741" s="30"/>
      <c r="P741" s="36"/>
      <c r="Q741" s="38">
        <f>IF(OR(C741&lt;&gt;"loan",E741=""),"",IF(ISNA(MATCH(E741,Units!$A$2:$A$501,0)),"",IF(INDEX(Units!$E$2:$E$501,MATCH(E741,Units!$A$2:$A$501,0))="","",IF(K741="","No due date",IF(INT(K741)&gt;INDEX(Units!$E$2:$E$501,MATCH(E741,Units!$A$2:$A$501,0)),"Past cal date","OK")))))</f>
      </c>
      <c r="R741" s="37">
        <f>IF(A741="Overdue",K741+ROW()/10000000,"")</f>
      </c>
    </row>
    <row r="742">
      <c r="A742" s="38">
        <f>IF(C742="","",IF(B742="","Needs ID",IF(OR(C742="loan",C742="send_out"),IF(COUNTIF($L$2:$L$1001,B742)&gt;0,"Closed",IF(K742="","Open",IF(K742&lt;NOW(),"Overdue","Open"))),IF(C742="return",IF(OR(L742="",COUNTIF($B$2:$B$1001,L742)=0),"No match",IF(OR(M742="worn",M742="damaged"),"Quarantine","Returned")),IF(C742="issue","Issued",IF(C742="transfer","Moved",IF(C742="write_off","Written off",IF(C742="unfilled","Unfilled",""))))))))</f>
      </c>
      <c r="B742" s="31"/>
      <c r="C742" s="35"/>
      <c r="D742" s="33"/>
      <c r="E742" s="31"/>
      <c r="F742" s="31"/>
      <c r="G742" s="37">
        <f>IF(F742="","",IF(ISNA(MATCH(F742,'Item master'!$A$2:$A$301,0)),"Not in Item master",IFERROR(INDEX('Item master'!$B$2:$B$301,MATCH(F742,'Item master'!$A$2:$A$301,0))&amp;"","")))</f>
      </c>
      <c r="H742" s="34"/>
      <c r="I742" s="31"/>
      <c r="J742" s="31"/>
      <c r="K742" s="33"/>
      <c r="L742" s="31"/>
      <c r="M742" s="35"/>
      <c r="N742" s="30"/>
      <c r="O742" s="30"/>
      <c r="P742" s="36"/>
      <c r="Q742" s="38">
        <f>IF(OR(C742&lt;&gt;"loan",E742=""),"",IF(ISNA(MATCH(E742,Units!$A$2:$A$501,0)),"",IF(INDEX(Units!$E$2:$E$501,MATCH(E742,Units!$A$2:$A$501,0))="","",IF(K742="","No due date",IF(INT(K742)&gt;INDEX(Units!$E$2:$E$501,MATCH(E742,Units!$A$2:$A$501,0)),"Past cal date","OK")))))</f>
      </c>
      <c r="R742" s="37">
        <f>IF(A742="Overdue",K742+ROW()/10000000,"")</f>
      </c>
    </row>
    <row r="743">
      <c r="A743" s="38">
        <f>IF(C743="","",IF(B743="","Needs ID",IF(OR(C743="loan",C743="send_out"),IF(COUNTIF($L$2:$L$1001,B743)&gt;0,"Closed",IF(K743="","Open",IF(K743&lt;NOW(),"Overdue","Open"))),IF(C743="return",IF(OR(L743="",COUNTIF($B$2:$B$1001,L743)=0),"No match",IF(OR(M743="worn",M743="damaged"),"Quarantine","Returned")),IF(C743="issue","Issued",IF(C743="transfer","Moved",IF(C743="write_off","Written off",IF(C743="unfilled","Unfilled",""))))))))</f>
      </c>
      <c r="B743" s="31"/>
      <c r="C743" s="35"/>
      <c r="D743" s="33"/>
      <c r="E743" s="31"/>
      <c r="F743" s="31"/>
      <c r="G743" s="37">
        <f>IF(F743="","",IF(ISNA(MATCH(F743,'Item master'!$A$2:$A$301,0)),"Not in Item master",IFERROR(INDEX('Item master'!$B$2:$B$301,MATCH(F743,'Item master'!$A$2:$A$301,0))&amp;"","")))</f>
      </c>
      <c r="H743" s="34"/>
      <c r="I743" s="31"/>
      <c r="J743" s="31"/>
      <c r="K743" s="33"/>
      <c r="L743" s="31"/>
      <c r="M743" s="35"/>
      <c r="N743" s="30"/>
      <c r="O743" s="30"/>
      <c r="P743" s="36"/>
      <c r="Q743" s="38">
        <f>IF(OR(C743&lt;&gt;"loan",E743=""),"",IF(ISNA(MATCH(E743,Units!$A$2:$A$501,0)),"",IF(INDEX(Units!$E$2:$E$501,MATCH(E743,Units!$A$2:$A$501,0))="","",IF(K743="","No due date",IF(INT(K743)&gt;INDEX(Units!$E$2:$E$501,MATCH(E743,Units!$A$2:$A$501,0)),"Past cal date","OK")))))</f>
      </c>
      <c r="R743" s="37">
        <f>IF(A743="Overdue",K743+ROW()/10000000,"")</f>
      </c>
    </row>
    <row r="744">
      <c r="A744" s="38">
        <f>IF(C744="","",IF(B744="","Needs ID",IF(OR(C744="loan",C744="send_out"),IF(COUNTIF($L$2:$L$1001,B744)&gt;0,"Closed",IF(K744="","Open",IF(K744&lt;NOW(),"Overdue","Open"))),IF(C744="return",IF(OR(L744="",COUNTIF($B$2:$B$1001,L744)=0),"No match",IF(OR(M744="worn",M744="damaged"),"Quarantine","Returned")),IF(C744="issue","Issued",IF(C744="transfer","Moved",IF(C744="write_off","Written off",IF(C744="unfilled","Unfilled",""))))))))</f>
      </c>
      <c r="B744" s="31"/>
      <c r="C744" s="35"/>
      <c r="D744" s="33"/>
      <c r="E744" s="31"/>
      <c r="F744" s="31"/>
      <c r="G744" s="37">
        <f>IF(F744="","",IF(ISNA(MATCH(F744,'Item master'!$A$2:$A$301,0)),"Not in Item master",IFERROR(INDEX('Item master'!$B$2:$B$301,MATCH(F744,'Item master'!$A$2:$A$301,0))&amp;"","")))</f>
      </c>
      <c r="H744" s="34"/>
      <c r="I744" s="31"/>
      <c r="J744" s="31"/>
      <c r="K744" s="33"/>
      <c r="L744" s="31"/>
      <c r="M744" s="35"/>
      <c r="N744" s="30"/>
      <c r="O744" s="30"/>
      <c r="P744" s="36"/>
      <c r="Q744" s="38">
        <f>IF(OR(C744&lt;&gt;"loan",E744=""),"",IF(ISNA(MATCH(E744,Units!$A$2:$A$501,0)),"",IF(INDEX(Units!$E$2:$E$501,MATCH(E744,Units!$A$2:$A$501,0))="","",IF(K744="","No due date",IF(INT(K744)&gt;INDEX(Units!$E$2:$E$501,MATCH(E744,Units!$A$2:$A$501,0)),"Past cal date","OK")))))</f>
      </c>
      <c r="R744" s="37">
        <f>IF(A744="Overdue",K744+ROW()/10000000,"")</f>
      </c>
    </row>
    <row r="745">
      <c r="A745" s="38">
        <f>IF(C745="","",IF(B745="","Needs ID",IF(OR(C745="loan",C745="send_out"),IF(COUNTIF($L$2:$L$1001,B745)&gt;0,"Closed",IF(K745="","Open",IF(K745&lt;NOW(),"Overdue","Open"))),IF(C745="return",IF(OR(L745="",COUNTIF($B$2:$B$1001,L745)=0),"No match",IF(OR(M745="worn",M745="damaged"),"Quarantine","Returned")),IF(C745="issue","Issued",IF(C745="transfer","Moved",IF(C745="write_off","Written off",IF(C745="unfilled","Unfilled",""))))))))</f>
      </c>
      <c r="B745" s="31"/>
      <c r="C745" s="35"/>
      <c r="D745" s="33"/>
      <c r="E745" s="31"/>
      <c r="F745" s="31"/>
      <c r="G745" s="37">
        <f>IF(F745="","",IF(ISNA(MATCH(F745,'Item master'!$A$2:$A$301,0)),"Not in Item master",IFERROR(INDEX('Item master'!$B$2:$B$301,MATCH(F745,'Item master'!$A$2:$A$301,0))&amp;"","")))</f>
      </c>
      <c r="H745" s="34"/>
      <c r="I745" s="31"/>
      <c r="J745" s="31"/>
      <c r="K745" s="33"/>
      <c r="L745" s="31"/>
      <c r="M745" s="35"/>
      <c r="N745" s="30"/>
      <c r="O745" s="30"/>
      <c r="P745" s="36"/>
      <c r="Q745" s="38">
        <f>IF(OR(C745&lt;&gt;"loan",E745=""),"",IF(ISNA(MATCH(E745,Units!$A$2:$A$501,0)),"",IF(INDEX(Units!$E$2:$E$501,MATCH(E745,Units!$A$2:$A$501,0))="","",IF(K745="","No due date",IF(INT(K745)&gt;INDEX(Units!$E$2:$E$501,MATCH(E745,Units!$A$2:$A$501,0)),"Past cal date","OK")))))</f>
      </c>
      <c r="R745" s="37">
        <f>IF(A745="Overdue",K745+ROW()/10000000,"")</f>
      </c>
    </row>
    <row r="746">
      <c r="A746" s="38">
        <f>IF(C746="","",IF(B746="","Needs ID",IF(OR(C746="loan",C746="send_out"),IF(COUNTIF($L$2:$L$1001,B746)&gt;0,"Closed",IF(K746="","Open",IF(K746&lt;NOW(),"Overdue","Open"))),IF(C746="return",IF(OR(L746="",COUNTIF($B$2:$B$1001,L746)=0),"No match",IF(OR(M746="worn",M746="damaged"),"Quarantine","Returned")),IF(C746="issue","Issued",IF(C746="transfer","Moved",IF(C746="write_off","Written off",IF(C746="unfilled","Unfilled",""))))))))</f>
      </c>
      <c r="B746" s="31"/>
      <c r="C746" s="35"/>
      <c r="D746" s="33"/>
      <c r="E746" s="31"/>
      <c r="F746" s="31"/>
      <c r="G746" s="37">
        <f>IF(F746="","",IF(ISNA(MATCH(F746,'Item master'!$A$2:$A$301,0)),"Not in Item master",IFERROR(INDEX('Item master'!$B$2:$B$301,MATCH(F746,'Item master'!$A$2:$A$301,0))&amp;"","")))</f>
      </c>
      <c r="H746" s="34"/>
      <c r="I746" s="31"/>
      <c r="J746" s="31"/>
      <c r="K746" s="33"/>
      <c r="L746" s="31"/>
      <c r="M746" s="35"/>
      <c r="N746" s="30"/>
      <c r="O746" s="30"/>
      <c r="P746" s="36"/>
      <c r="Q746" s="38">
        <f>IF(OR(C746&lt;&gt;"loan",E746=""),"",IF(ISNA(MATCH(E746,Units!$A$2:$A$501,0)),"",IF(INDEX(Units!$E$2:$E$501,MATCH(E746,Units!$A$2:$A$501,0))="","",IF(K746="","No due date",IF(INT(K746)&gt;INDEX(Units!$E$2:$E$501,MATCH(E746,Units!$A$2:$A$501,0)),"Past cal date","OK")))))</f>
      </c>
      <c r="R746" s="37">
        <f>IF(A746="Overdue",K746+ROW()/10000000,"")</f>
      </c>
    </row>
    <row r="747">
      <c r="A747" s="38">
        <f>IF(C747="","",IF(B747="","Needs ID",IF(OR(C747="loan",C747="send_out"),IF(COUNTIF($L$2:$L$1001,B747)&gt;0,"Closed",IF(K747="","Open",IF(K747&lt;NOW(),"Overdue","Open"))),IF(C747="return",IF(OR(L747="",COUNTIF($B$2:$B$1001,L747)=0),"No match",IF(OR(M747="worn",M747="damaged"),"Quarantine","Returned")),IF(C747="issue","Issued",IF(C747="transfer","Moved",IF(C747="write_off","Written off",IF(C747="unfilled","Unfilled",""))))))))</f>
      </c>
      <c r="B747" s="31"/>
      <c r="C747" s="35"/>
      <c r="D747" s="33"/>
      <c r="E747" s="31"/>
      <c r="F747" s="31"/>
      <c r="G747" s="37">
        <f>IF(F747="","",IF(ISNA(MATCH(F747,'Item master'!$A$2:$A$301,0)),"Not in Item master",IFERROR(INDEX('Item master'!$B$2:$B$301,MATCH(F747,'Item master'!$A$2:$A$301,0))&amp;"","")))</f>
      </c>
      <c r="H747" s="34"/>
      <c r="I747" s="31"/>
      <c r="J747" s="31"/>
      <c r="K747" s="33"/>
      <c r="L747" s="31"/>
      <c r="M747" s="35"/>
      <c r="N747" s="30"/>
      <c r="O747" s="30"/>
      <c r="P747" s="36"/>
      <c r="Q747" s="38">
        <f>IF(OR(C747&lt;&gt;"loan",E747=""),"",IF(ISNA(MATCH(E747,Units!$A$2:$A$501,0)),"",IF(INDEX(Units!$E$2:$E$501,MATCH(E747,Units!$A$2:$A$501,0))="","",IF(K747="","No due date",IF(INT(K747)&gt;INDEX(Units!$E$2:$E$501,MATCH(E747,Units!$A$2:$A$501,0)),"Past cal date","OK")))))</f>
      </c>
      <c r="R747" s="37">
        <f>IF(A747="Overdue",K747+ROW()/10000000,"")</f>
      </c>
    </row>
    <row r="748">
      <c r="A748" s="38">
        <f>IF(C748="","",IF(B748="","Needs ID",IF(OR(C748="loan",C748="send_out"),IF(COUNTIF($L$2:$L$1001,B748)&gt;0,"Closed",IF(K748="","Open",IF(K748&lt;NOW(),"Overdue","Open"))),IF(C748="return",IF(OR(L748="",COUNTIF($B$2:$B$1001,L748)=0),"No match",IF(OR(M748="worn",M748="damaged"),"Quarantine","Returned")),IF(C748="issue","Issued",IF(C748="transfer","Moved",IF(C748="write_off","Written off",IF(C748="unfilled","Unfilled",""))))))))</f>
      </c>
      <c r="B748" s="31"/>
      <c r="C748" s="35"/>
      <c r="D748" s="33"/>
      <c r="E748" s="31"/>
      <c r="F748" s="31"/>
      <c r="G748" s="37">
        <f>IF(F748="","",IF(ISNA(MATCH(F748,'Item master'!$A$2:$A$301,0)),"Not in Item master",IFERROR(INDEX('Item master'!$B$2:$B$301,MATCH(F748,'Item master'!$A$2:$A$301,0))&amp;"","")))</f>
      </c>
      <c r="H748" s="34"/>
      <c r="I748" s="31"/>
      <c r="J748" s="31"/>
      <c r="K748" s="33"/>
      <c r="L748" s="31"/>
      <c r="M748" s="35"/>
      <c r="N748" s="30"/>
      <c r="O748" s="30"/>
      <c r="P748" s="36"/>
      <c r="Q748" s="38">
        <f>IF(OR(C748&lt;&gt;"loan",E748=""),"",IF(ISNA(MATCH(E748,Units!$A$2:$A$501,0)),"",IF(INDEX(Units!$E$2:$E$501,MATCH(E748,Units!$A$2:$A$501,0))="","",IF(K748="","No due date",IF(INT(K748)&gt;INDEX(Units!$E$2:$E$501,MATCH(E748,Units!$A$2:$A$501,0)),"Past cal date","OK")))))</f>
      </c>
      <c r="R748" s="37">
        <f>IF(A748="Overdue",K748+ROW()/10000000,"")</f>
      </c>
    </row>
    <row r="749">
      <c r="A749" s="38">
        <f>IF(C749="","",IF(B749="","Needs ID",IF(OR(C749="loan",C749="send_out"),IF(COUNTIF($L$2:$L$1001,B749)&gt;0,"Closed",IF(K749="","Open",IF(K749&lt;NOW(),"Overdue","Open"))),IF(C749="return",IF(OR(L749="",COUNTIF($B$2:$B$1001,L749)=0),"No match",IF(OR(M749="worn",M749="damaged"),"Quarantine","Returned")),IF(C749="issue","Issued",IF(C749="transfer","Moved",IF(C749="write_off","Written off",IF(C749="unfilled","Unfilled",""))))))))</f>
      </c>
      <c r="B749" s="31"/>
      <c r="C749" s="35"/>
      <c r="D749" s="33"/>
      <c r="E749" s="31"/>
      <c r="F749" s="31"/>
      <c r="G749" s="37">
        <f>IF(F749="","",IF(ISNA(MATCH(F749,'Item master'!$A$2:$A$301,0)),"Not in Item master",IFERROR(INDEX('Item master'!$B$2:$B$301,MATCH(F749,'Item master'!$A$2:$A$301,0))&amp;"","")))</f>
      </c>
      <c r="H749" s="34"/>
      <c r="I749" s="31"/>
      <c r="J749" s="31"/>
      <c r="K749" s="33"/>
      <c r="L749" s="31"/>
      <c r="M749" s="35"/>
      <c r="N749" s="30"/>
      <c r="O749" s="30"/>
      <c r="P749" s="36"/>
      <c r="Q749" s="38">
        <f>IF(OR(C749&lt;&gt;"loan",E749=""),"",IF(ISNA(MATCH(E749,Units!$A$2:$A$501,0)),"",IF(INDEX(Units!$E$2:$E$501,MATCH(E749,Units!$A$2:$A$501,0))="","",IF(K749="","No due date",IF(INT(K749)&gt;INDEX(Units!$E$2:$E$501,MATCH(E749,Units!$A$2:$A$501,0)),"Past cal date","OK")))))</f>
      </c>
      <c r="R749" s="37">
        <f>IF(A749="Overdue",K749+ROW()/10000000,"")</f>
      </c>
    </row>
    <row r="750">
      <c r="A750" s="38">
        <f>IF(C750="","",IF(B750="","Needs ID",IF(OR(C750="loan",C750="send_out"),IF(COUNTIF($L$2:$L$1001,B750)&gt;0,"Closed",IF(K750="","Open",IF(K750&lt;NOW(),"Overdue","Open"))),IF(C750="return",IF(OR(L750="",COUNTIF($B$2:$B$1001,L750)=0),"No match",IF(OR(M750="worn",M750="damaged"),"Quarantine","Returned")),IF(C750="issue","Issued",IF(C750="transfer","Moved",IF(C750="write_off","Written off",IF(C750="unfilled","Unfilled",""))))))))</f>
      </c>
      <c r="B750" s="31"/>
      <c r="C750" s="35"/>
      <c r="D750" s="33"/>
      <c r="E750" s="31"/>
      <c r="F750" s="31"/>
      <c r="G750" s="37">
        <f>IF(F750="","",IF(ISNA(MATCH(F750,'Item master'!$A$2:$A$301,0)),"Not in Item master",IFERROR(INDEX('Item master'!$B$2:$B$301,MATCH(F750,'Item master'!$A$2:$A$301,0))&amp;"","")))</f>
      </c>
      <c r="H750" s="34"/>
      <c r="I750" s="31"/>
      <c r="J750" s="31"/>
      <c r="K750" s="33"/>
      <c r="L750" s="31"/>
      <c r="M750" s="35"/>
      <c r="N750" s="30"/>
      <c r="O750" s="30"/>
      <c r="P750" s="36"/>
      <c r="Q750" s="38">
        <f>IF(OR(C750&lt;&gt;"loan",E750=""),"",IF(ISNA(MATCH(E750,Units!$A$2:$A$501,0)),"",IF(INDEX(Units!$E$2:$E$501,MATCH(E750,Units!$A$2:$A$501,0))="","",IF(K750="","No due date",IF(INT(K750)&gt;INDEX(Units!$E$2:$E$501,MATCH(E750,Units!$A$2:$A$501,0)),"Past cal date","OK")))))</f>
      </c>
      <c r="R750" s="37">
        <f>IF(A750="Overdue",K750+ROW()/10000000,"")</f>
      </c>
    </row>
    <row r="751">
      <c r="A751" s="38">
        <f>IF(C751="","",IF(B751="","Needs ID",IF(OR(C751="loan",C751="send_out"),IF(COUNTIF($L$2:$L$1001,B751)&gt;0,"Closed",IF(K751="","Open",IF(K751&lt;NOW(),"Overdue","Open"))),IF(C751="return",IF(OR(L751="",COUNTIF($B$2:$B$1001,L751)=0),"No match",IF(OR(M751="worn",M751="damaged"),"Quarantine","Returned")),IF(C751="issue","Issued",IF(C751="transfer","Moved",IF(C751="write_off","Written off",IF(C751="unfilled","Unfilled",""))))))))</f>
      </c>
      <c r="B751" s="31"/>
      <c r="C751" s="35"/>
      <c r="D751" s="33"/>
      <c r="E751" s="31"/>
      <c r="F751" s="31"/>
      <c r="G751" s="37">
        <f>IF(F751="","",IF(ISNA(MATCH(F751,'Item master'!$A$2:$A$301,0)),"Not in Item master",IFERROR(INDEX('Item master'!$B$2:$B$301,MATCH(F751,'Item master'!$A$2:$A$301,0))&amp;"","")))</f>
      </c>
      <c r="H751" s="34"/>
      <c r="I751" s="31"/>
      <c r="J751" s="31"/>
      <c r="K751" s="33"/>
      <c r="L751" s="31"/>
      <c r="M751" s="35"/>
      <c r="N751" s="30"/>
      <c r="O751" s="30"/>
      <c r="P751" s="36"/>
      <c r="Q751" s="38">
        <f>IF(OR(C751&lt;&gt;"loan",E751=""),"",IF(ISNA(MATCH(E751,Units!$A$2:$A$501,0)),"",IF(INDEX(Units!$E$2:$E$501,MATCH(E751,Units!$A$2:$A$501,0))="","",IF(K751="","No due date",IF(INT(K751)&gt;INDEX(Units!$E$2:$E$501,MATCH(E751,Units!$A$2:$A$501,0)),"Past cal date","OK")))))</f>
      </c>
      <c r="R751" s="37">
        <f>IF(A751="Overdue",K751+ROW()/10000000,"")</f>
      </c>
    </row>
    <row r="752">
      <c r="A752" s="38">
        <f>IF(C752="","",IF(B752="","Needs ID",IF(OR(C752="loan",C752="send_out"),IF(COUNTIF($L$2:$L$1001,B752)&gt;0,"Closed",IF(K752="","Open",IF(K752&lt;NOW(),"Overdue","Open"))),IF(C752="return",IF(OR(L752="",COUNTIF($B$2:$B$1001,L752)=0),"No match",IF(OR(M752="worn",M752="damaged"),"Quarantine","Returned")),IF(C752="issue","Issued",IF(C752="transfer","Moved",IF(C752="write_off","Written off",IF(C752="unfilled","Unfilled",""))))))))</f>
      </c>
      <c r="B752" s="31"/>
      <c r="C752" s="35"/>
      <c r="D752" s="33"/>
      <c r="E752" s="31"/>
      <c r="F752" s="31"/>
      <c r="G752" s="37">
        <f>IF(F752="","",IF(ISNA(MATCH(F752,'Item master'!$A$2:$A$301,0)),"Not in Item master",IFERROR(INDEX('Item master'!$B$2:$B$301,MATCH(F752,'Item master'!$A$2:$A$301,0))&amp;"","")))</f>
      </c>
      <c r="H752" s="34"/>
      <c r="I752" s="31"/>
      <c r="J752" s="31"/>
      <c r="K752" s="33"/>
      <c r="L752" s="31"/>
      <c r="M752" s="35"/>
      <c r="N752" s="30"/>
      <c r="O752" s="30"/>
      <c r="P752" s="36"/>
      <c r="Q752" s="38">
        <f>IF(OR(C752&lt;&gt;"loan",E752=""),"",IF(ISNA(MATCH(E752,Units!$A$2:$A$501,0)),"",IF(INDEX(Units!$E$2:$E$501,MATCH(E752,Units!$A$2:$A$501,0))="","",IF(K752="","No due date",IF(INT(K752)&gt;INDEX(Units!$E$2:$E$501,MATCH(E752,Units!$A$2:$A$501,0)),"Past cal date","OK")))))</f>
      </c>
      <c r="R752" s="37">
        <f>IF(A752="Overdue",K752+ROW()/10000000,"")</f>
      </c>
    </row>
    <row r="753">
      <c r="A753" s="38">
        <f>IF(C753="","",IF(B753="","Needs ID",IF(OR(C753="loan",C753="send_out"),IF(COUNTIF($L$2:$L$1001,B753)&gt;0,"Closed",IF(K753="","Open",IF(K753&lt;NOW(),"Overdue","Open"))),IF(C753="return",IF(OR(L753="",COUNTIF($B$2:$B$1001,L753)=0),"No match",IF(OR(M753="worn",M753="damaged"),"Quarantine","Returned")),IF(C753="issue","Issued",IF(C753="transfer","Moved",IF(C753="write_off","Written off",IF(C753="unfilled","Unfilled",""))))))))</f>
      </c>
      <c r="B753" s="31"/>
      <c r="C753" s="35"/>
      <c r="D753" s="33"/>
      <c r="E753" s="31"/>
      <c r="F753" s="31"/>
      <c r="G753" s="37">
        <f>IF(F753="","",IF(ISNA(MATCH(F753,'Item master'!$A$2:$A$301,0)),"Not in Item master",IFERROR(INDEX('Item master'!$B$2:$B$301,MATCH(F753,'Item master'!$A$2:$A$301,0))&amp;"","")))</f>
      </c>
      <c r="H753" s="34"/>
      <c r="I753" s="31"/>
      <c r="J753" s="31"/>
      <c r="K753" s="33"/>
      <c r="L753" s="31"/>
      <c r="M753" s="35"/>
      <c r="N753" s="30"/>
      <c r="O753" s="30"/>
      <c r="P753" s="36"/>
      <c r="Q753" s="38">
        <f>IF(OR(C753&lt;&gt;"loan",E753=""),"",IF(ISNA(MATCH(E753,Units!$A$2:$A$501,0)),"",IF(INDEX(Units!$E$2:$E$501,MATCH(E753,Units!$A$2:$A$501,0))="","",IF(K753="","No due date",IF(INT(K753)&gt;INDEX(Units!$E$2:$E$501,MATCH(E753,Units!$A$2:$A$501,0)),"Past cal date","OK")))))</f>
      </c>
      <c r="R753" s="37">
        <f>IF(A753="Overdue",K753+ROW()/10000000,"")</f>
      </c>
    </row>
    <row r="754">
      <c r="A754" s="38">
        <f>IF(C754="","",IF(B754="","Needs ID",IF(OR(C754="loan",C754="send_out"),IF(COUNTIF($L$2:$L$1001,B754)&gt;0,"Closed",IF(K754="","Open",IF(K754&lt;NOW(),"Overdue","Open"))),IF(C754="return",IF(OR(L754="",COUNTIF($B$2:$B$1001,L754)=0),"No match",IF(OR(M754="worn",M754="damaged"),"Quarantine","Returned")),IF(C754="issue","Issued",IF(C754="transfer","Moved",IF(C754="write_off","Written off",IF(C754="unfilled","Unfilled",""))))))))</f>
      </c>
      <c r="B754" s="31"/>
      <c r="C754" s="35"/>
      <c r="D754" s="33"/>
      <c r="E754" s="31"/>
      <c r="F754" s="31"/>
      <c r="G754" s="37">
        <f>IF(F754="","",IF(ISNA(MATCH(F754,'Item master'!$A$2:$A$301,0)),"Not in Item master",IFERROR(INDEX('Item master'!$B$2:$B$301,MATCH(F754,'Item master'!$A$2:$A$301,0))&amp;"","")))</f>
      </c>
      <c r="H754" s="34"/>
      <c r="I754" s="31"/>
      <c r="J754" s="31"/>
      <c r="K754" s="33"/>
      <c r="L754" s="31"/>
      <c r="M754" s="35"/>
      <c r="N754" s="30"/>
      <c r="O754" s="30"/>
      <c r="P754" s="36"/>
      <c r="Q754" s="38">
        <f>IF(OR(C754&lt;&gt;"loan",E754=""),"",IF(ISNA(MATCH(E754,Units!$A$2:$A$501,0)),"",IF(INDEX(Units!$E$2:$E$501,MATCH(E754,Units!$A$2:$A$501,0))="","",IF(K754="","No due date",IF(INT(K754)&gt;INDEX(Units!$E$2:$E$501,MATCH(E754,Units!$A$2:$A$501,0)),"Past cal date","OK")))))</f>
      </c>
      <c r="R754" s="37">
        <f>IF(A754="Overdue",K754+ROW()/10000000,"")</f>
      </c>
    </row>
    <row r="755">
      <c r="A755" s="38">
        <f>IF(C755="","",IF(B755="","Needs ID",IF(OR(C755="loan",C755="send_out"),IF(COUNTIF($L$2:$L$1001,B755)&gt;0,"Closed",IF(K755="","Open",IF(K755&lt;NOW(),"Overdue","Open"))),IF(C755="return",IF(OR(L755="",COUNTIF($B$2:$B$1001,L755)=0),"No match",IF(OR(M755="worn",M755="damaged"),"Quarantine","Returned")),IF(C755="issue","Issued",IF(C755="transfer","Moved",IF(C755="write_off","Written off",IF(C755="unfilled","Unfilled",""))))))))</f>
      </c>
      <c r="B755" s="31"/>
      <c r="C755" s="35"/>
      <c r="D755" s="33"/>
      <c r="E755" s="31"/>
      <c r="F755" s="31"/>
      <c r="G755" s="37">
        <f>IF(F755="","",IF(ISNA(MATCH(F755,'Item master'!$A$2:$A$301,0)),"Not in Item master",IFERROR(INDEX('Item master'!$B$2:$B$301,MATCH(F755,'Item master'!$A$2:$A$301,0))&amp;"","")))</f>
      </c>
      <c r="H755" s="34"/>
      <c r="I755" s="31"/>
      <c r="J755" s="31"/>
      <c r="K755" s="33"/>
      <c r="L755" s="31"/>
      <c r="M755" s="35"/>
      <c r="N755" s="30"/>
      <c r="O755" s="30"/>
      <c r="P755" s="36"/>
      <c r="Q755" s="38">
        <f>IF(OR(C755&lt;&gt;"loan",E755=""),"",IF(ISNA(MATCH(E755,Units!$A$2:$A$501,0)),"",IF(INDEX(Units!$E$2:$E$501,MATCH(E755,Units!$A$2:$A$501,0))="","",IF(K755="","No due date",IF(INT(K755)&gt;INDEX(Units!$E$2:$E$501,MATCH(E755,Units!$A$2:$A$501,0)),"Past cal date","OK")))))</f>
      </c>
      <c r="R755" s="37">
        <f>IF(A755="Overdue",K755+ROW()/10000000,"")</f>
      </c>
    </row>
    <row r="756">
      <c r="A756" s="38">
        <f>IF(C756="","",IF(B756="","Needs ID",IF(OR(C756="loan",C756="send_out"),IF(COUNTIF($L$2:$L$1001,B756)&gt;0,"Closed",IF(K756="","Open",IF(K756&lt;NOW(),"Overdue","Open"))),IF(C756="return",IF(OR(L756="",COUNTIF($B$2:$B$1001,L756)=0),"No match",IF(OR(M756="worn",M756="damaged"),"Quarantine","Returned")),IF(C756="issue","Issued",IF(C756="transfer","Moved",IF(C756="write_off","Written off",IF(C756="unfilled","Unfilled",""))))))))</f>
      </c>
      <c r="B756" s="31"/>
      <c r="C756" s="35"/>
      <c r="D756" s="33"/>
      <c r="E756" s="31"/>
      <c r="F756" s="31"/>
      <c r="G756" s="37">
        <f>IF(F756="","",IF(ISNA(MATCH(F756,'Item master'!$A$2:$A$301,0)),"Not in Item master",IFERROR(INDEX('Item master'!$B$2:$B$301,MATCH(F756,'Item master'!$A$2:$A$301,0))&amp;"","")))</f>
      </c>
      <c r="H756" s="34"/>
      <c r="I756" s="31"/>
      <c r="J756" s="31"/>
      <c r="K756" s="33"/>
      <c r="L756" s="31"/>
      <c r="M756" s="35"/>
      <c r="N756" s="30"/>
      <c r="O756" s="30"/>
      <c r="P756" s="36"/>
      <c r="Q756" s="38">
        <f>IF(OR(C756&lt;&gt;"loan",E756=""),"",IF(ISNA(MATCH(E756,Units!$A$2:$A$501,0)),"",IF(INDEX(Units!$E$2:$E$501,MATCH(E756,Units!$A$2:$A$501,0))="","",IF(K756="","No due date",IF(INT(K756)&gt;INDEX(Units!$E$2:$E$501,MATCH(E756,Units!$A$2:$A$501,0)),"Past cal date","OK")))))</f>
      </c>
      <c r="R756" s="37">
        <f>IF(A756="Overdue",K756+ROW()/10000000,"")</f>
      </c>
    </row>
    <row r="757">
      <c r="A757" s="38">
        <f>IF(C757="","",IF(B757="","Needs ID",IF(OR(C757="loan",C757="send_out"),IF(COUNTIF($L$2:$L$1001,B757)&gt;0,"Closed",IF(K757="","Open",IF(K757&lt;NOW(),"Overdue","Open"))),IF(C757="return",IF(OR(L757="",COUNTIF($B$2:$B$1001,L757)=0),"No match",IF(OR(M757="worn",M757="damaged"),"Quarantine","Returned")),IF(C757="issue","Issued",IF(C757="transfer","Moved",IF(C757="write_off","Written off",IF(C757="unfilled","Unfilled",""))))))))</f>
      </c>
      <c r="B757" s="31"/>
      <c r="C757" s="35"/>
      <c r="D757" s="33"/>
      <c r="E757" s="31"/>
      <c r="F757" s="31"/>
      <c r="G757" s="37">
        <f>IF(F757="","",IF(ISNA(MATCH(F757,'Item master'!$A$2:$A$301,0)),"Not in Item master",IFERROR(INDEX('Item master'!$B$2:$B$301,MATCH(F757,'Item master'!$A$2:$A$301,0))&amp;"","")))</f>
      </c>
      <c r="H757" s="34"/>
      <c r="I757" s="31"/>
      <c r="J757" s="31"/>
      <c r="K757" s="33"/>
      <c r="L757" s="31"/>
      <c r="M757" s="35"/>
      <c r="N757" s="30"/>
      <c r="O757" s="30"/>
      <c r="P757" s="36"/>
      <c r="Q757" s="38">
        <f>IF(OR(C757&lt;&gt;"loan",E757=""),"",IF(ISNA(MATCH(E757,Units!$A$2:$A$501,0)),"",IF(INDEX(Units!$E$2:$E$501,MATCH(E757,Units!$A$2:$A$501,0))="","",IF(K757="","No due date",IF(INT(K757)&gt;INDEX(Units!$E$2:$E$501,MATCH(E757,Units!$A$2:$A$501,0)),"Past cal date","OK")))))</f>
      </c>
      <c r="R757" s="37">
        <f>IF(A757="Overdue",K757+ROW()/10000000,"")</f>
      </c>
    </row>
    <row r="758">
      <c r="A758" s="38">
        <f>IF(C758="","",IF(B758="","Needs ID",IF(OR(C758="loan",C758="send_out"),IF(COUNTIF($L$2:$L$1001,B758)&gt;0,"Closed",IF(K758="","Open",IF(K758&lt;NOW(),"Overdue","Open"))),IF(C758="return",IF(OR(L758="",COUNTIF($B$2:$B$1001,L758)=0),"No match",IF(OR(M758="worn",M758="damaged"),"Quarantine","Returned")),IF(C758="issue","Issued",IF(C758="transfer","Moved",IF(C758="write_off","Written off",IF(C758="unfilled","Unfilled",""))))))))</f>
      </c>
      <c r="B758" s="31"/>
      <c r="C758" s="35"/>
      <c r="D758" s="33"/>
      <c r="E758" s="31"/>
      <c r="F758" s="31"/>
      <c r="G758" s="37">
        <f>IF(F758="","",IF(ISNA(MATCH(F758,'Item master'!$A$2:$A$301,0)),"Not in Item master",IFERROR(INDEX('Item master'!$B$2:$B$301,MATCH(F758,'Item master'!$A$2:$A$301,0))&amp;"","")))</f>
      </c>
      <c r="H758" s="34"/>
      <c r="I758" s="31"/>
      <c r="J758" s="31"/>
      <c r="K758" s="33"/>
      <c r="L758" s="31"/>
      <c r="M758" s="35"/>
      <c r="N758" s="30"/>
      <c r="O758" s="30"/>
      <c r="P758" s="36"/>
      <c r="Q758" s="38">
        <f>IF(OR(C758&lt;&gt;"loan",E758=""),"",IF(ISNA(MATCH(E758,Units!$A$2:$A$501,0)),"",IF(INDEX(Units!$E$2:$E$501,MATCH(E758,Units!$A$2:$A$501,0))="","",IF(K758="","No due date",IF(INT(K758)&gt;INDEX(Units!$E$2:$E$501,MATCH(E758,Units!$A$2:$A$501,0)),"Past cal date","OK")))))</f>
      </c>
      <c r="R758" s="37">
        <f>IF(A758="Overdue",K758+ROW()/10000000,"")</f>
      </c>
    </row>
    <row r="759">
      <c r="A759" s="38">
        <f>IF(C759="","",IF(B759="","Needs ID",IF(OR(C759="loan",C759="send_out"),IF(COUNTIF($L$2:$L$1001,B759)&gt;0,"Closed",IF(K759="","Open",IF(K759&lt;NOW(),"Overdue","Open"))),IF(C759="return",IF(OR(L759="",COUNTIF($B$2:$B$1001,L759)=0),"No match",IF(OR(M759="worn",M759="damaged"),"Quarantine","Returned")),IF(C759="issue","Issued",IF(C759="transfer","Moved",IF(C759="write_off","Written off",IF(C759="unfilled","Unfilled",""))))))))</f>
      </c>
      <c r="B759" s="31"/>
      <c r="C759" s="35"/>
      <c r="D759" s="33"/>
      <c r="E759" s="31"/>
      <c r="F759" s="31"/>
      <c r="G759" s="37">
        <f>IF(F759="","",IF(ISNA(MATCH(F759,'Item master'!$A$2:$A$301,0)),"Not in Item master",IFERROR(INDEX('Item master'!$B$2:$B$301,MATCH(F759,'Item master'!$A$2:$A$301,0))&amp;"","")))</f>
      </c>
      <c r="H759" s="34"/>
      <c r="I759" s="31"/>
      <c r="J759" s="31"/>
      <c r="K759" s="33"/>
      <c r="L759" s="31"/>
      <c r="M759" s="35"/>
      <c r="N759" s="30"/>
      <c r="O759" s="30"/>
      <c r="P759" s="36"/>
      <c r="Q759" s="38">
        <f>IF(OR(C759&lt;&gt;"loan",E759=""),"",IF(ISNA(MATCH(E759,Units!$A$2:$A$501,0)),"",IF(INDEX(Units!$E$2:$E$501,MATCH(E759,Units!$A$2:$A$501,0))="","",IF(K759="","No due date",IF(INT(K759)&gt;INDEX(Units!$E$2:$E$501,MATCH(E759,Units!$A$2:$A$501,0)),"Past cal date","OK")))))</f>
      </c>
      <c r="R759" s="37">
        <f>IF(A759="Overdue",K759+ROW()/10000000,"")</f>
      </c>
    </row>
    <row r="760">
      <c r="A760" s="38">
        <f>IF(C760="","",IF(B760="","Needs ID",IF(OR(C760="loan",C760="send_out"),IF(COUNTIF($L$2:$L$1001,B760)&gt;0,"Closed",IF(K760="","Open",IF(K760&lt;NOW(),"Overdue","Open"))),IF(C760="return",IF(OR(L760="",COUNTIF($B$2:$B$1001,L760)=0),"No match",IF(OR(M760="worn",M760="damaged"),"Quarantine","Returned")),IF(C760="issue","Issued",IF(C760="transfer","Moved",IF(C760="write_off","Written off",IF(C760="unfilled","Unfilled",""))))))))</f>
      </c>
      <c r="B760" s="31"/>
      <c r="C760" s="35"/>
      <c r="D760" s="33"/>
      <c r="E760" s="31"/>
      <c r="F760" s="31"/>
      <c r="G760" s="37">
        <f>IF(F760="","",IF(ISNA(MATCH(F760,'Item master'!$A$2:$A$301,0)),"Not in Item master",IFERROR(INDEX('Item master'!$B$2:$B$301,MATCH(F760,'Item master'!$A$2:$A$301,0))&amp;"","")))</f>
      </c>
      <c r="H760" s="34"/>
      <c r="I760" s="31"/>
      <c r="J760" s="31"/>
      <c r="K760" s="33"/>
      <c r="L760" s="31"/>
      <c r="M760" s="35"/>
      <c r="N760" s="30"/>
      <c r="O760" s="30"/>
      <c r="P760" s="36"/>
      <c r="Q760" s="38">
        <f>IF(OR(C760&lt;&gt;"loan",E760=""),"",IF(ISNA(MATCH(E760,Units!$A$2:$A$501,0)),"",IF(INDEX(Units!$E$2:$E$501,MATCH(E760,Units!$A$2:$A$501,0))="","",IF(K760="","No due date",IF(INT(K760)&gt;INDEX(Units!$E$2:$E$501,MATCH(E760,Units!$A$2:$A$501,0)),"Past cal date","OK")))))</f>
      </c>
      <c r="R760" s="37">
        <f>IF(A760="Overdue",K760+ROW()/10000000,"")</f>
      </c>
    </row>
    <row r="761">
      <c r="A761" s="38">
        <f>IF(C761="","",IF(B761="","Needs ID",IF(OR(C761="loan",C761="send_out"),IF(COUNTIF($L$2:$L$1001,B761)&gt;0,"Closed",IF(K761="","Open",IF(K761&lt;NOW(),"Overdue","Open"))),IF(C761="return",IF(OR(L761="",COUNTIF($B$2:$B$1001,L761)=0),"No match",IF(OR(M761="worn",M761="damaged"),"Quarantine","Returned")),IF(C761="issue","Issued",IF(C761="transfer","Moved",IF(C761="write_off","Written off",IF(C761="unfilled","Unfilled",""))))))))</f>
      </c>
      <c r="B761" s="31"/>
      <c r="C761" s="35"/>
      <c r="D761" s="33"/>
      <c r="E761" s="31"/>
      <c r="F761" s="31"/>
      <c r="G761" s="37">
        <f>IF(F761="","",IF(ISNA(MATCH(F761,'Item master'!$A$2:$A$301,0)),"Not in Item master",IFERROR(INDEX('Item master'!$B$2:$B$301,MATCH(F761,'Item master'!$A$2:$A$301,0))&amp;"","")))</f>
      </c>
      <c r="H761" s="34"/>
      <c r="I761" s="31"/>
      <c r="J761" s="31"/>
      <c r="K761" s="33"/>
      <c r="L761" s="31"/>
      <c r="M761" s="35"/>
      <c r="N761" s="30"/>
      <c r="O761" s="30"/>
      <c r="P761" s="36"/>
      <c r="Q761" s="38">
        <f>IF(OR(C761&lt;&gt;"loan",E761=""),"",IF(ISNA(MATCH(E761,Units!$A$2:$A$501,0)),"",IF(INDEX(Units!$E$2:$E$501,MATCH(E761,Units!$A$2:$A$501,0))="","",IF(K761="","No due date",IF(INT(K761)&gt;INDEX(Units!$E$2:$E$501,MATCH(E761,Units!$A$2:$A$501,0)),"Past cal date","OK")))))</f>
      </c>
      <c r="R761" s="37">
        <f>IF(A761="Overdue",K761+ROW()/10000000,"")</f>
      </c>
    </row>
    <row r="762">
      <c r="A762" s="38">
        <f>IF(C762="","",IF(B762="","Needs ID",IF(OR(C762="loan",C762="send_out"),IF(COUNTIF($L$2:$L$1001,B762)&gt;0,"Closed",IF(K762="","Open",IF(K762&lt;NOW(),"Overdue","Open"))),IF(C762="return",IF(OR(L762="",COUNTIF($B$2:$B$1001,L762)=0),"No match",IF(OR(M762="worn",M762="damaged"),"Quarantine","Returned")),IF(C762="issue","Issued",IF(C762="transfer","Moved",IF(C762="write_off","Written off",IF(C762="unfilled","Unfilled",""))))))))</f>
      </c>
      <c r="B762" s="31"/>
      <c r="C762" s="35"/>
      <c r="D762" s="33"/>
      <c r="E762" s="31"/>
      <c r="F762" s="31"/>
      <c r="G762" s="37">
        <f>IF(F762="","",IF(ISNA(MATCH(F762,'Item master'!$A$2:$A$301,0)),"Not in Item master",IFERROR(INDEX('Item master'!$B$2:$B$301,MATCH(F762,'Item master'!$A$2:$A$301,0))&amp;"","")))</f>
      </c>
      <c r="H762" s="34"/>
      <c r="I762" s="31"/>
      <c r="J762" s="31"/>
      <c r="K762" s="33"/>
      <c r="L762" s="31"/>
      <c r="M762" s="35"/>
      <c r="N762" s="30"/>
      <c r="O762" s="30"/>
      <c r="P762" s="36"/>
      <c r="Q762" s="38">
        <f>IF(OR(C762&lt;&gt;"loan",E762=""),"",IF(ISNA(MATCH(E762,Units!$A$2:$A$501,0)),"",IF(INDEX(Units!$E$2:$E$501,MATCH(E762,Units!$A$2:$A$501,0))="","",IF(K762="","No due date",IF(INT(K762)&gt;INDEX(Units!$E$2:$E$501,MATCH(E762,Units!$A$2:$A$501,0)),"Past cal date","OK")))))</f>
      </c>
      <c r="R762" s="37">
        <f>IF(A762="Overdue",K762+ROW()/10000000,"")</f>
      </c>
    </row>
    <row r="763">
      <c r="A763" s="38">
        <f>IF(C763="","",IF(B763="","Needs ID",IF(OR(C763="loan",C763="send_out"),IF(COUNTIF($L$2:$L$1001,B763)&gt;0,"Closed",IF(K763="","Open",IF(K763&lt;NOW(),"Overdue","Open"))),IF(C763="return",IF(OR(L763="",COUNTIF($B$2:$B$1001,L763)=0),"No match",IF(OR(M763="worn",M763="damaged"),"Quarantine","Returned")),IF(C763="issue","Issued",IF(C763="transfer","Moved",IF(C763="write_off","Written off",IF(C763="unfilled","Unfilled",""))))))))</f>
      </c>
      <c r="B763" s="31"/>
      <c r="C763" s="35"/>
      <c r="D763" s="33"/>
      <c r="E763" s="31"/>
      <c r="F763" s="31"/>
      <c r="G763" s="37">
        <f>IF(F763="","",IF(ISNA(MATCH(F763,'Item master'!$A$2:$A$301,0)),"Not in Item master",IFERROR(INDEX('Item master'!$B$2:$B$301,MATCH(F763,'Item master'!$A$2:$A$301,0))&amp;"","")))</f>
      </c>
      <c r="H763" s="34"/>
      <c r="I763" s="31"/>
      <c r="J763" s="31"/>
      <c r="K763" s="33"/>
      <c r="L763" s="31"/>
      <c r="M763" s="35"/>
      <c r="N763" s="30"/>
      <c r="O763" s="30"/>
      <c r="P763" s="36"/>
      <c r="Q763" s="38">
        <f>IF(OR(C763&lt;&gt;"loan",E763=""),"",IF(ISNA(MATCH(E763,Units!$A$2:$A$501,0)),"",IF(INDEX(Units!$E$2:$E$501,MATCH(E763,Units!$A$2:$A$501,0))="","",IF(K763="","No due date",IF(INT(K763)&gt;INDEX(Units!$E$2:$E$501,MATCH(E763,Units!$A$2:$A$501,0)),"Past cal date","OK")))))</f>
      </c>
      <c r="R763" s="37">
        <f>IF(A763="Overdue",K763+ROW()/10000000,"")</f>
      </c>
    </row>
    <row r="764">
      <c r="A764" s="38">
        <f>IF(C764="","",IF(B764="","Needs ID",IF(OR(C764="loan",C764="send_out"),IF(COUNTIF($L$2:$L$1001,B764)&gt;0,"Closed",IF(K764="","Open",IF(K764&lt;NOW(),"Overdue","Open"))),IF(C764="return",IF(OR(L764="",COUNTIF($B$2:$B$1001,L764)=0),"No match",IF(OR(M764="worn",M764="damaged"),"Quarantine","Returned")),IF(C764="issue","Issued",IF(C764="transfer","Moved",IF(C764="write_off","Written off",IF(C764="unfilled","Unfilled",""))))))))</f>
      </c>
      <c r="B764" s="31"/>
      <c r="C764" s="35"/>
      <c r="D764" s="33"/>
      <c r="E764" s="31"/>
      <c r="F764" s="31"/>
      <c r="G764" s="37">
        <f>IF(F764="","",IF(ISNA(MATCH(F764,'Item master'!$A$2:$A$301,0)),"Not in Item master",IFERROR(INDEX('Item master'!$B$2:$B$301,MATCH(F764,'Item master'!$A$2:$A$301,0))&amp;"","")))</f>
      </c>
      <c r="H764" s="34"/>
      <c r="I764" s="31"/>
      <c r="J764" s="31"/>
      <c r="K764" s="33"/>
      <c r="L764" s="31"/>
      <c r="M764" s="35"/>
      <c r="N764" s="30"/>
      <c r="O764" s="30"/>
      <c r="P764" s="36"/>
      <c r="Q764" s="38">
        <f>IF(OR(C764&lt;&gt;"loan",E764=""),"",IF(ISNA(MATCH(E764,Units!$A$2:$A$501,0)),"",IF(INDEX(Units!$E$2:$E$501,MATCH(E764,Units!$A$2:$A$501,0))="","",IF(K764="","No due date",IF(INT(K764)&gt;INDEX(Units!$E$2:$E$501,MATCH(E764,Units!$A$2:$A$501,0)),"Past cal date","OK")))))</f>
      </c>
      <c r="R764" s="37">
        <f>IF(A764="Overdue",K764+ROW()/10000000,"")</f>
      </c>
    </row>
    <row r="765">
      <c r="A765" s="38">
        <f>IF(C765="","",IF(B765="","Needs ID",IF(OR(C765="loan",C765="send_out"),IF(COUNTIF($L$2:$L$1001,B765)&gt;0,"Closed",IF(K765="","Open",IF(K765&lt;NOW(),"Overdue","Open"))),IF(C765="return",IF(OR(L765="",COUNTIF($B$2:$B$1001,L765)=0),"No match",IF(OR(M765="worn",M765="damaged"),"Quarantine","Returned")),IF(C765="issue","Issued",IF(C765="transfer","Moved",IF(C765="write_off","Written off",IF(C765="unfilled","Unfilled",""))))))))</f>
      </c>
      <c r="B765" s="31"/>
      <c r="C765" s="35"/>
      <c r="D765" s="33"/>
      <c r="E765" s="31"/>
      <c r="F765" s="31"/>
      <c r="G765" s="37">
        <f>IF(F765="","",IF(ISNA(MATCH(F765,'Item master'!$A$2:$A$301,0)),"Not in Item master",IFERROR(INDEX('Item master'!$B$2:$B$301,MATCH(F765,'Item master'!$A$2:$A$301,0))&amp;"","")))</f>
      </c>
      <c r="H765" s="34"/>
      <c r="I765" s="31"/>
      <c r="J765" s="31"/>
      <c r="K765" s="33"/>
      <c r="L765" s="31"/>
      <c r="M765" s="35"/>
      <c r="N765" s="30"/>
      <c r="O765" s="30"/>
      <c r="P765" s="36"/>
      <c r="Q765" s="38">
        <f>IF(OR(C765&lt;&gt;"loan",E765=""),"",IF(ISNA(MATCH(E765,Units!$A$2:$A$501,0)),"",IF(INDEX(Units!$E$2:$E$501,MATCH(E765,Units!$A$2:$A$501,0))="","",IF(K765="","No due date",IF(INT(K765)&gt;INDEX(Units!$E$2:$E$501,MATCH(E765,Units!$A$2:$A$501,0)),"Past cal date","OK")))))</f>
      </c>
      <c r="R765" s="37">
        <f>IF(A765="Overdue",K765+ROW()/10000000,"")</f>
      </c>
    </row>
    <row r="766">
      <c r="A766" s="38">
        <f>IF(C766="","",IF(B766="","Needs ID",IF(OR(C766="loan",C766="send_out"),IF(COUNTIF($L$2:$L$1001,B766)&gt;0,"Closed",IF(K766="","Open",IF(K766&lt;NOW(),"Overdue","Open"))),IF(C766="return",IF(OR(L766="",COUNTIF($B$2:$B$1001,L766)=0),"No match",IF(OR(M766="worn",M766="damaged"),"Quarantine","Returned")),IF(C766="issue","Issued",IF(C766="transfer","Moved",IF(C766="write_off","Written off",IF(C766="unfilled","Unfilled",""))))))))</f>
      </c>
      <c r="B766" s="31"/>
      <c r="C766" s="35"/>
      <c r="D766" s="33"/>
      <c r="E766" s="31"/>
      <c r="F766" s="31"/>
      <c r="G766" s="37">
        <f>IF(F766="","",IF(ISNA(MATCH(F766,'Item master'!$A$2:$A$301,0)),"Not in Item master",IFERROR(INDEX('Item master'!$B$2:$B$301,MATCH(F766,'Item master'!$A$2:$A$301,0))&amp;"","")))</f>
      </c>
      <c r="H766" s="34"/>
      <c r="I766" s="31"/>
      <c r="J766" s="31"/>
      <c r="K766" s="33"/>
      <c r="L766" s="31"/>
      <c r="M766" s="35"/>
      <c r="N766" s="30"/>
      <c r="O766" s="30"/>
      <c r="P766" s="36"/>
      <c r="Q766" s="38">
        <f>IF(OR(C766&lt;&gt;"loan",E766=""),"",IF(ISNA(MATCH(E766,Units!$A$2:$A$501,0)),"",IF(INDEX(Units!$E$2:$E$501,MATCH(E766,Units!$A$2:$A$501,0))="","",IF(K766="","No due date",IF(INT(K766)&gt;INDEX(Units!$E$2:$E$501,MATCH(E766,Units!$A$2:$A$501,0)),"Past cal date","OK")))))</f>
      </c>
      <c r="R766" s="37">
        <f>IF(A766="Overdue",K766+ROW()/10000000,"")</f>
      </c>
    </row>
    <row r="767">
      <c r="A767" s="38">
        <f>IF(C767="","",IF(B767="","Needs ID",IF(OR(C767="loan",C767="send_out"),IF(COUNTIF($L$2:$L$1001,B767)&gt;0,"Closed",IF(K767="","Open",IF(K767&lt;NOW(),"Overdue","Open"))),IF(C767="return",IF(OR(L767="",COUNTIF($B$2:$B$1001,L767)=0),"No match",IF(OR(M767="worn",M767="damaged"),"Quarantine","Returned")),IF(C767="issue","Issued",IF(C767="transfer","Moved",IF(C767="write_off","Written off",IF(C767="unfilled","Unfilled",""))))))))</f>
      </c>
      <c r="B767" s="31"/>
      <c r="C767" s="35"/>
      <c r="D767" s="33"/>
      <c r="E767" s="31"/>
      <c r="F767" s="31"/>
      <c r="G767" s="37">
        <f>IF(F767="","",IF(ISNA(MATCH(F767,'Item master'!$A$2:$A$301,0)),"Not in Item master",IFERROR(INDEX('Item master'!$B$2:$B$301,MATCH(F767,'Item master'!$A$2:$A$301,0))&amp;"","")))</f>
      </c>
      <c r="H767" s="34"/>
      <c r="I767" s="31"/>
      <c r="J767" s="31"/>
      <c r="K767" s="33"/>
      <c r="L767" s="31"/>
      <c r="M767" s="35"/>
      <c r="N767" s="30"/>
      <c r="O767" s="30"/>
      <c r="P767" s="36"/>
      <c r="Q767" s="38">
        <f>IF(OR(C767&lt;&gt;"loan",E767=""),"",IF(ISNA(MATCH(E767,Units!$A$2:$A$501,0)),"",IF(INDEX(Units!$E$2:$E$501,MATCH(E767,Units!$A$2:$A$501,0))="","",IF(K767="","No due date",IF(INT(K767)&gt;INDEX(Units!$E$2:$E$501,MATCH(E767,Units!$A$2:$A$501,0)),"Past cal date","OK")))))</f>
      </c>
      <c r="R767" s="37">
        <f>IF(A767="Overdue",K767+ROW()/10000000,"")</f>
      </c>
    </row>
    <row r="768">
      <c r="A768" s="38">
        <f>IF(C768="","",IF(B768="","Needs ID",IF(OR(C768="loan",C768="send_out"),IF(COUNTIF($L$2:$L$1001,B768)&gt;0,"Closed",IF(K768="","Open",IF(K768&lt;NOW(),"Overdue","Open"))),IF(C768="return",IF(OR(L768="",COUNTIF($B$2:$B$1001,L768)=0),"No match",IF(OR(M768="worn",M768="damaged"),"Quarantine","Returned")),IF(C768="issue","Issued",IF(C768="transfer","Moved",IF(C768="write_off","Written off",IF(C768="unfilled","Unfilled",""))))))))</f>
      </c>
      <c r="B768" s="31"/>
      <c r="C768" s="35"/>
      <c r="D768" s="33"/>
      <c r="E768" s="31"/>
      <c r="F768" s="31"/>
      <c r="G768" s="37">
        <f>IF(F768="","",IF(ISNA(MATCH(F768,'Item master'!$A$2:$A$301,0)),"Not in Item master",IFERROR(INDEX('Item master'!$B$2:$B$301,MATCH(F768,'Item master'!$A$2:$A$301,0))&amp;"","")))</f>
      </c>
      <c r="H768" s="34"/>
      <c r="I768" s="31"/>
      <c r="J768" s="31"/>
      <c r="K768" s="33"/>
      <c r="L768" s="31"/>
      <c r="M768" s="35"/>
      <c r="N768" s="30"/>
      <c r="O768" s="30"/>
      <c r="P768" s="36"/>
      <c r="Q768" s="38">
        <f>IF(OR(C768&lt;&gt;"loan",E768=""),"",IF(ISNA(MATCH(E768,Units!$A$2:$A$501,0)),"",IF(INDEX(Units!$E$2:$E$501,MATCH(E768,Units!$A$2:$A$501,0))="","",IF(K768="","No due date",IF(INT(K768)&gt;INDEX(Units!$E$2:$E$501,MATCH(E768,Units!$A$2:$A$501,0)),"Past cal date","OK")))))</f>
      </c>
      <c r="R768" s="37">
        <f>IF(A768="Overdue",K768+ROW()/10000000,"")</f>
      </c>
    </row>
    <row r="769">
      <c r="A769" s="38">
        <f>IF(C769="","",IF(B769="","Needs ID",IF(OR(C769="loan",C769="send_out"),IF(COUNTIF($L$2:$L$1001,B769)&gt;0,"Closed",IF(K769="","Open",IF(K769&lt;NOW(),"Overdue","Open"))),IF(C769="return",IF(OR(L769="",COUNTIF($B$2:$B$1001,L769)=0),"No match",IF(OR(M769="worn",M769="damaged"),"Quarantine","Returned")),IF(C769="issue","Issued",IF(C769="transfer","Moved",IF(C769="write_off","Written off",IF(C769="unfilled","Unfilled",""))))))))</f>
      </c>
      <c r="B769" s="31"/>
      <c r="C769" s="35"/>
      <c r="D769" s="33"/>
      <c r="E769" s="31"/>
      <c r="F769" s="31"/>
      <c r="G769" s="37">
        <f>IF(F769="","",IF(ISNA(MATCH(F769,'Item master'!$A$2:$A$301,0)),"Not in Item master",IFERROR(INDEX('Item master'!$B$2:$B$301,MATCH(F769,'Item master'!$A$2:$A$301,0))&amp;"","")))</f>
      </c>
      <c r="H769" s="34"/>
      <c r="I769" s="31"/>
      <c r="J769" s="31"/>
      <c r="K769" s="33"/>
      <c r="L769" s="31"/>
      <c r="M769" s="35"/>
      <c r="N769" s="30"/>
      <c r="O769" s="30"/>
      <c r="P769" s="36"/>
      <c r="Q769" s="38">
        <f>IF(OR(C769&lt;&gt;"loan",E769=""),"",IF(ISNA(MATCH(E769,Units!$A$2:$A$501,0)),"",IF(INDEX(Units!$E$2:$E$501,MATCH(E769,Units!$A$2:$A$501,0))="","",IF(K769="","No due date",IF(INT(K769)&gt;INDEX(Units!$E$2:$E$501,MATCH(E769,Units!$A$2:$A$501,0)),"Past cal date","OK")))))</f>
      </c>
      <c r="R769" s="37">
        <f>IF(A769="Overdue",K769+ROW()/10000000,"")</f>
      </c>
    </row>
    <row r="770">
      <c r="A770" s="38">
        <f>IF(C770="","",IF(B770="","Needs ID",IF(OR(C770="loan",C770="send_out"),IF(COUNTIF($L$2:$L$1001,B770)&gt;0,"Closed",IF(K770="","Open",IF(K770&lt;NOW(),"Overdue","Open"))),IF(C770="return",IF(OR(L770="",COUNTIF($B$2:$B$1001,L770)=0),"No match",IF(OR(M770="worn",M770="damaged"),"Quarantine","Returned")),IF(C770="issue","Issued",IF(C770="transfer","Moved",IF(C770="write_off","Written off",IF(C770="unfilled","Unfilled",""))))))))</f>
      </c>
      <c r="B770" s="31"/>
      <c r="C770" s="35"/>
      <c r="D770" s="33"/>
      <c r="E770" s="31"/>
      <c r="F770" s="31"/>
      <c r="G770" s="37">
        <f>IF(F770="","",IF(ISNA(MATCH(F770,'Item master'!$A$2:$A$301,0)),"Not in Item master",IFERROR(INDEX('Item master'!$B$2:$B$301,MATCH(F770,'Item master'!$A$2:$A$301,0))&amp;"","")))</f>
      </c>
      <c r="H770" s="34"/>
      <c r="I770" s="31"/>
      <c r="J770" s="31"/>
      <c r="K770" s="33"/>
      <c r="L770" s="31"/>
      <c r="M770" s="35"/>
      <c r="N770" s="30"/>
      <c r="O770" s="30"/>
      <c r="P770" s="36"/>
      <c r="Q770" s="38">
        <f>IF(OR(C770&lt;&gt;"loan",E770=""),"",IF(ISNA(MATCH(E770,Units!$A$2:$A$501,0)),"",IF(INDEX(Units!$E$2:$E$501,MATCH(E770,Units!$A$2:$A$501,0))="","",IF(K770="","No due date",IF(INT(K770)&gt;INDEX(Units!$E$2:$E$501,MATCH(E770,Units!$A$2:$A$501,0)),"Past cal date","OK")))))</f>
      </c>
      <c r="R770" s="37">
        <f>IF(A770="Overdue",K770+ROW()/10000000,"")</f>
      </c>
    </row>
    <row r="771">
      <c r="A771" s="38">
        <f>IF(C771="","",IF(B771="","Needs ID",IF(OR(C771="loan",C771="send_out"),IF(COUNTIF($L$2:$L$1001,B771)&gt;0,"Closed",IF(K771="","Open",IF(K771&lt;NOW(),"Overdue","Open"))),IF(C771="return",IF(OR(L771="",COUNTIF($B$2:$B$1001,L771)=0),"No match",IF(OR(M771="worn",M771="damaged"),"Quarantine","Returned")),IF(C771="issue","Issued",IF(C771="transfer","Moved",IF(C771="write_off","Written off",IF(C771="unfilled","Unfilled",""))))))))</f>
      </c>
      <c r="B771" s="31"/>
      <c r="C771" s="35"/>
      <c r="D771" s="33"/>
      <c r="E771" s="31"/>
      <c r="F771" s="31"/>
      <c r="G771" s="37">
        <f>IF(F771="","",IF(ISNA(MATCH(F771,'Item master'!$A$2:$A$301,0)),"Not in Item master",IFERROR(INDEX('Item master'!$B$2:$B$301,MATCH(F771,'Item master'!$A$2:$A$301,0))&amp;"","")))</f>
      </c>
      <c r="H771" s="34"/>
      <c r="I771" s="31"/>
      <c r="J771" s="31"/>
      <c r="K771" s="33"/>
      <c r="L771" s="31"/>
      <c r="M771" s="35"/>
      <c r="N771" s="30"/>
      <c r="O771" s="30"/>
      <c r="P771" s="36"/>
      <c r="Q771" s="38">
        <f>IF(OR(C771&lt;&gt;"loan",E771=""),"",IF(ISNA(MATCH(E771,Units!$A$2:$A$501,0)),"",IF(INDEX(Units!$E$2:$E$501,MATCH(E771,Units!$A$2:$A$501,0))="","",IF(K771="","No due date",IF(INT(K771)&gt;INDEX(Units!$E$2:$E$501,MATCH(E771,Units!$A$2:$A$501,0)),"Past cal date","OK")))))</f>
      </c>
      <c r="R771" s="37">
        <f>IF(A771="Overdue",K771+ROW()/10000000,"")</f>
      </c>
    </row>
    <row r="772">
      <c r="A772" s="38">
        <f>IF(C772="","",IF(B772="","Needs ID",IF(OR(C772="loan",C772="send_out"),IF(COUNTIF($L$2:$L$1001,B772)&gt;0,"Closed",IF(K772="","Open",IF(K772&lt;NOW(),"Overdue","Open"))),IF(C772="return",IF(OR(L772="",COUNTIF($B$2:$B$1001,L772)=0),"No match",IF(OR(M772="worn",M772="damaged"),"Quarantine","Returned")),IF(C772="issue","Issued",IF(C772="transfer","Moved",IF(C772="write_off","Written off",IF(C772="unfilled","Unfilled",""))))))))</f>
      </c>
      <c r="B772" s="31"/>
      <c r="C772" s="35"/>
      <c r="D772" s="33"/>
      <c r="E772" s="31"/>
      <c r="F772" s="31"/>
      <c r="G772" s="37">
        <f>IF(F772="","",IF(ISNA(MATCH(F772,'Item master'!$A$2:$A$301,0)),"Not in Item master",IFERROR(INDEX('Item master'!$B$2:$B$301,MATCH(F772,'Item master'!$A$2:$A$301,0))&amp;"","")))</f>
      </c>
      <c r="H772" s="34"/>
      <c r="I772" s="31"/>
      <c r="J772" s="31"/>
      <c r="K772" s="33"/>
      <c r="L772" s="31"/>
      <c r="M772" s="35"/>
      <c r="N772" s="30"/>
      <c r="O772" s="30"/>
      <c r="P772" s="36"/>
      <c r="Q772" s="38">
        <f>IF(OR(C772&lt;&gt;"loan",E772=""),"",IF(ISNA(MATCH(E772,Units!$A$2:$A$501,0)),"",IF(INDEX(Units!$E$2:$E$501,MATCH(E772,Units!$A$2:$A$501,0))="","",IF(K772="","No due date",IF(INT(K772)&gt;INDEX(Units!$E$2:$E$501,MATCH(E772,Units!$A$2:$A$501,0)),"Past cal date","OK")))))</f>
      </c>
      <c r="R772" s="37">
        <f>IF(A772="Overdue",K772+ROW()/10000000,"")</f>
      </c>
    </row>
    <row r="773">
      <c r="A773" s="38">
        <f>IF(C773="","",IF(B773="","Needs ID",IF(OR(C773="loan",C773="send_out"),IF(COUNTIF($L$2:$L$1001,B773)&gt;0,"Closed",IF(K773="","Open",IF(K773&lt;NOW(),"Overdue","Open"))),IF(C773="return",IF(OR(L773="",COUNTIF($B$2:$B$1001,L773)=0),"No match",IF(OR(M773="worn",M773="damaged"),"Quarantine","Returned")),IF(C773="issue","Issued",IF(C773="transfer","Moved",IF(C773="write_off","Written off",IF(C773="unfilled","Unfilled",""))))))))</f>
      </c>
      <c r="B773" s="31"/>
      <c r="C773" s="35"/>
      <c r="D773" s="33"/>
      <c r="E773" s="31"/>
      <c r="F773" s="31"/>
      <c r="G773" s="37">
        <f>IF(F773="","",IF(ISNA(MATCH(F773,'Item master'!$A$2:$A$301,0)),"Not in Item master",IFERROR(INDEX('Item master'!$B$2:$B$301,MATCH(F773,'Item master'!$A$2:$A$301,0))&amp;"","")))</f>
      </c>
      <c r="H773" s="34"/>
      <c r="I773" s="31"/>
      <c r="J773" s="31"/>
      <c r="K773" s="33"/>
      <c r="L773" s="31"/>
      <c r="M773" s="35"/>
      <c r="N773" s="30"/>
      <c r="O773" s="30"/>
      <c r="P773" s="36"/>
      <c r="Q773" s="38">
        <f>IF(OR(C773&lt;&gt;"loan",E773=""),"",IF(ISNA(MATCH(E773,Units!$A$2:$A$501,0)),"",IF(INDEX(Units!$E$2:$E$501,MATCH(E773,Units!$A$2:$A$501,0))="","",IF(K773="","No due date",IF(INT(K773)&gt;INDEX(Units!$E$2:$E$501,MATCH(E773,Units!$A$2:$A$501,0)),"Past cal date","OK")))))</f>
      </c>
      <c r="R773" s="37">
        <f>IF(A773="Overdue",K773+ROW()/10000000,"")</f>
      </c>
    </row>
    <row r="774">
      <c r="A774" s="38">
        <f>IF(C774="","",IF(B774="","Needs ID",IF(OR(C774="loan",C774="send_out"),IF(COUNTIF($L$2:$L$1001,B774)&gt;0,"Closed",IF(K774="","Open",IF(K774&lt;NOW(),"Overdue","Open"))),IF(C774="return",IF(OR(L774="",COUNTIF($B$2:$B$1001,L774)=0),"No match",IF(OR(M774="worn",M774="damaged"),"Quarantine","Returned")),IF(C774="issue","Issued",IF(C774="transfer","Moved",IF(C774="write_off","Written off",IF(C774="unfilled","Unfilled",""))))))))</f>
      </c>
      <c r="B774" s="31"/>
      <c r="C774" s="35"/>
      <c r="D774" s="33"/>
      <c r="E774" s="31"/>
      <c r="F774" s="31"/>
      <c r="G774" s="37">
        <f>IF(F774="","",IF(ISNA(MATCH(F774,'Item master'!$A$2:$A$301,0)),"Not in Item master",IFERROR(INDEX('Item master'!$B$2:$B$301,MATCH(F774,'Item master'!$A$2:$A$301,0))&amp;"","")))</f>
      </c>
      <c r="H774" s="34"/>
      <c r="I774" s="31"/>
      <c r="J774" s="31"/>
      <c r="K774" s="33"/>
      <c r="L774" s="31"/>
      <c r="M774" s="35"/>
      <c r="N774" s="30"/>
      <c r="O774" s="30"/>
      <c r="P774" s="36"/>
      <c r="Q774" s="38">
        <f>IF(OR(C774&lt;&gt;"loan",E774=""),"",IF(ISNA(MATCH(E774,Units!$A$2:$A$501,0)),"",IF(INDEX(Units!$E$2:$E$501,MATCH(E774,Units!$A$2:$A$501,0))="","",IF(K774="","No due date",IF(INT(K774)&gt;INDEX(Units!$E$2:$E$501,MATCH(E774,Units!$A$2:$A$501,0)),"Past cal date","OK")))))</f>
      </c>
      <c r="R774" s="37">
        <f>IF(A774="Overdue",K774+ROW()/10000000,"")</f>
      </c>
    </row>
    <row r="775">
      <c r="A775" s="38">
        <f>IF(C775="","",IF(B775="","Needs ID",IF(OR(C775="loan",C775="send_out"),IF(COUNTIF($L$2:$L$1001,B775)&gt;0,"Closed",IF(K775="","Open",IF(K775&lt;NOW(),"Overdue","Open"))),IF(C775="return",IF(OR(L775="",COUNTIF($B$2:$B$1001,L775)=0),"No match",IF(OR(M775="worn",M775="damaged"),"Quarantine","Returned")),IF(C775="issue","Issued",IF(C775="transfer","Moved",IF(C775="write_off","Written off",IF(C775="unfilled","Unfilled",""))))))))</f>
      </c>
      <c r="B775" s="31"/>
      <c r="C775" s="35"/>
      <c r="D775" s="33"/>
      <c r="E775" s="31"/>
      <c r="F775" s="31"/>
      <c r="G775" s="37">
        <f>IF(F775="","",IF(ISNA(MATCH(F775,'Item master'!$A$2:$A$301,0)),"Not in Item master",IFERROR(INDEX('Item master'!$B$2:$B$301,MATCH(F775,'Item master'!$A$2:$A$301,0))&amp;"","")))</f>
      </c>
      <c r="H775" s="34"/>
      <c r="I775" s="31"/>
      <c r="J775" s="31"/>
      <c r="K775" s="33"/>
      <c r="L775" s="31"/>
      <c r="M775" s="35"/>
      <c r="N775" s="30"/>
      <c r="O775" s="30"/>
      <c r="P775" s="36"/>
      <c r="Q775" s="38">
        <f>IF(OR(C775&lt;&gt;"loan",E775=""),"",IF(ISNA(MATCH(E775,Units!$A$2:$A$501,0)),"",IF(INDEX(Units!$E$2:$E$501,MATCH(E775,Units!$A$2:$A$501,0))="","",IF(K775="","No due date",IF(INT(K775)&gt;INDEX(Units!$E$2:$E$501,MATCH(E775,Units!$A$2:$A$501,0)),"Past cal date","OK")))))</f>
      </c>
      <c r="R775" s="37">
        <f>IF(A775="Overdue",K775+ROW()/10000000,"")</f>
      </c>
    </row>
    <row r="776">
      <c r="A776" s="38">
        <f>IF(C776="","",IF(B776="","Needs ID",IF(OR(C776="loan",C776="send_out"),IF(COUNTIF($L$2:$L$1001,B776)&gt;0,"Closed",IF(K776="","Open",IF(K776&lt;NOW(),"Overdue","Open"))),IF(C776="return",IF(OR(L776="",COUNTIF($B$2:$B$1001,L776)=0),"No match",IF(OR(M776="worn",M776="damaged"),"Quarantine","Returned")),IF(C776="issue","Issued",IF(C776="transfer","Moved",IF(C776="write_off","Written off",IF(C776="unfilled","Unfilled",""))))))))</f>
      </c>
      <c r="B776" s="31"/>
      <c r="C776" s="35"/>
      <c r="D776" s="33"/>
      <c r="E776" s="31"/>
      <c r="F776" s="31"/>
      <c r="G776" s="37">
        <f>IF(F776="","",IF(ISNA(MATCH(F776,'Item master'!$A$2:$A$301,0)),"Not in Item master",IFERROR(INDEX('Item master'!$B$2:$B$301,MATCH(F776,'Item master'!$A$2:$A$301,0))&amp;"","")))</f>
      </c>
      <c r="H776" s="34"/>
      <c r="I776" s="31"/>
      <c r="J776" s="31"/>
      <c r="K776" s="33"/>
      <c r="L776" s="31"/>
      <c r="M776" s="35"/>
      <c r="N776" s="30"/>
      <c r="O776" s="30"/>
      <c r="P776" s="36"/>
      <c r="Q776" s="38">
        <f>IF(OR(C776&lt;&gt;"loan",E776=""),"",IF(ISNA(MATCH(E776,Units!$A$2:$A$501,0)),"",IF(INDEX(Units!$E$2:$E$501,MATCH(E776,Units!$A$2:$A$501,0))="","",IF(K776="","No due date",IF(INT(K776)&gt;INDEX(Units!$E$2:$E$501,MATCH(E776,Units!$A$2:$A$501,0)),"Past cal date","OK")))))</f>
      </c>
      <c r="R776" s="37">
        <f>IF(A776="Overdue",K776+ROW()/10000000,"")</f>
      </c>
    </row>
    <row r="777">
      <c r="A777" s="38">
        <f>IF(C777="","",IF(B777="","Needs ID",IF(OR(C777="loan",C777="send_out"),IF(COUNTIF($L$2:$L$1001,B777)&gt;0,"Closed",IF(K777="","Open",IF(K777&lt;NOW(),"Overdue","Open"))),IF(C777="return",IF(OR(L777="",COUNTIF($B$2:$B$1001,L777)=0),"No match",IF(OR(M777="worn",M777="damaged"),"Quarantine","Returned")),IF(C777="issue","Issued",IF(C777="transfer","Moved",IF(C777="write_off","Written off",IF(C777="unfilled","Unfilled",""))))))))</f>
      </c>
      <c r="B777" s="31"/>
      <c r="C777" s="35"/>
      <c r="D777" s="33"/>
      <c r="E777" s="31"/>
      <c r="F777" s="31"/>
      <c r="G777" s="37">
        <f>IF(F777="","",IF(ISNA(MATCH(F777,'Item master'!$A$2:$A$301,0)),"Not in Item master",IFERROR(INDEX('Item master'!$B$2:$B$301,MATCH(F777,'Item master'!$A$2:$A$301,0))&amp;"","")))</f>
      </c>
      <c r="H777" s="34"/>
      <c r="I777" s="31"/>
      <c r="J777" s="31"/>
      <c r="K777" s="33"/>
      <c r="L777" s="31"/>
      <c r="M777" s="35"/>
      <c r="N777" s="30"/>
      <c r="O777" s="30"/>
      <c r="P777" s="36"/>
      <c r="Q777" s="38">
        <f>IF(OR(C777&lt;&gt;"loan",E777=""),"",IF(ISNA(MATCH(E777,Units!$A$2:$A$501,0)),"",IF(INDEX(Units!$E$2:$E$501,MATCH(E777,Units!$A$2:$A$501,0))="","",IF(K777="","No due date",IF(INT(K777)&gt;INDEX(Units!$E$2:$E$501,MATCH(E777,Units!$A$2:$A$501,0)),"Past cal date","OK")))))</f>
      </c>
      <c r="R777" s="37">
        <f>IF(A777="Overdue",K777+ROW()/10000000,"")</f>
      </c>
    </row>
    <row r="778">
      <c r="A778" s="38">
        <f>IF(C778="","",IF(B778="","Needs ID",IF(OR(C778="loan",C778="send_out"),IF(COUNTIF($L$2:$L$1001,B778)&gt;0,"Closed",IF(K778="","Open",IF(K778&lt;NOW(),"Overdue","Open"))),IF(C778="return",IF(OR(L778="",COUNTIF($B$2:$B$1001,L778)=0),"No match",IF(OR(M778="worn",M778="damaged"),"Quarantine","Returned")),IF(C778="issue","Issued",IF(C778="transfer","Moved",IF(C778="write_off","Written off",IF(C778="unfilled","Unfilled",""))))))))</f>
      </c>
      <c r="B778" s="31"/>
      <c r="C778" s="35"/>
      <c r="D778" s="33"/>
      <c r="E778" s="31"/>
      <c r="F778" s="31"/>
      <c r="G778" s="37">
        <f>IF(F778="","",IF(ISNA(MATCH(F778,'Item master'!$A$2:$A$301,0)),"Not in Item master",IFERROR(INDEX('Item master'!$B$2:$B$301,MATCH(F778,'Item master'!$A$2:$A$301,0))&amp;"","")))</f>
      </c>
      <c r="H778" s="34"/>
      <c r="I778" s="31"/>
      <c r="J778" s="31"/>
      <c r="K778" s="33"/>
      <c r="L778" s="31"/>
      <c r="M778" s="35"/>
      <c r="N778" s="30"/>
      <c r="O778" s="30"/>
      <c r="P778" s="36"/>
      <c r="Q778" s="38">
        <f>IF(OR(C778&lt;&gt;"loan",E778=""),"",IF(ISNA(MATCH(E778,Units!$A$2:$A$501,0)),"",IF(INDEX(Units!$E$2:$E$501,MATCH(E778,Units!$A$2:$A$501,0))="","",IF(K778="","No due date",IF(INT(K778)&gt;INDEX(Units!$E$2:$E$501,MATCH(E778,Units!$A$2:$A$501,0)),"Past cal date","OK")))))</f>
      </c>
      <c r="R778" s="37">
        <f>IF(A778="Overdue",K778+ROW()/10000000,"")</f>
      </c>
    </row>
    <row r="779">
      <c r="A779" s="38">
        <f>IF(C779="","",IF(B779="","Needs ID",IF(OR(C779="loan",C779="send_out"),IF(COUNTIF($L$2:$L$1001,B779)&gt;0,"Closed",IF(K779="","Open",IF(K779&lt;NOW(),"Overdue","Open"))),IF(C779="return",IF(OR(L779="",COUNTIF($B$2:$B$1001,L779)=0),"No match",IF(OR(M779="worn",M779="damaged"),"Quarantine","Returned")),IF(C779="issue","Issued",IF(C779="transfer","Moved",IF(C779="write_off","Written off",IF(C779="unfilled","Unfilled",""))))))))</f>
      </c>
      <c r="B779" s="31"/>
      <c r="C779" s="35"/>
      <c r="D779" s="33"/>
      <c r="E779" s="31"/>
      <c r="F779" s="31"/>
      <c r="G779" s="37">
        <f>IF(F779="","",IF(ISNA(MATCH(F779,'Item master'!$A$2:$A$301,0)),"Not in Item master",IFERROR(INDEX('Item master'!$B$2:$B$301,MATCH(F779,'Item master'!$A$2:$A$301,0))&amp;"","")))</f>
      </c>
      <c r="H779" s="34"/>
      <c r="I779" s="31"/>
      <c r="J779" s="31"/>
      <c r="K779" s="33"/>
      <c r="L779" s="31"/>
      <c r="M779" s="35"/>
      <c r="N779" s="30"/>
      <c r="O779" s="30"/>
      <c r="P779" s="36"/>
      <c r="Q779" s="38">
        <f>IF(OR(C779&lt;&gt;"loan",E779=""),"",IF(ISNA(MATCH(E779,Units!$A$2:$A$501,0)),"",IF(INDEX(Units!$E$2:$E$501,MATCH(E779,Units!$A$2:$A$501,0))="","",IF(K779="","No due date",IF(INT(K779)&gt;INDEX(Units!$E$2:$E$501,MATCH(E779,Units!$A$2:$A$501,0)),"Past cal date","OK")))))</f>
      </c>
      <c r="R779" s="37">
        <f>IF(A779="Overdue",K779+ROW()/10000000,"")</f>
      </c>
    </row>
    <row r="780">
      <c r="A780" s="38">
        <f>IF(C780="","",IF(B780="","Needs ID",IF(OR(C780="loan",C780="send_out"),IF(COUNTIF($L$2:$L$1001,B780)&gt;0,"Closed",IF(K780="","Open",IF(K780&lt;NOW(),"Overdue","Open"))),IF(C780="return",IF(OR(L780="",COUNTIF($B$2:$B$1001,L780)=0),"No match",IF(OR(M780="worn",M780="damaged"),"Quarantine","Returned")),IF(C780="issue","Issued",IF(C780="transfer","Moved",IF(C780="write_off","Written off",IF(C780="unfilled","Unfilled",""))))))))</f>
      </c>
      <c r="B780" s="31"/>
      <c r="C780" s="35"/>
      <c r="D780" s="33"/>
      <c r="E780" s="31"/>
      <c r="F780" s="31"/>
      <c r="G780" s="37">
        <f>IF(F780="","",IF(ISNA(MATCH(F780,'Item master'!$A$2:$A$301,0)),"Not in Item master",IFERROR(INDEX('Item master'!$B$2:$B$301,MATCH(F780,'Item master'!$A$2:$A$301,0))&amp;"","")))</f>
      </c>
      <c r="H780" s="34"/>
      <c r="I780" s="31"/>
      <c r="J780" s="31"/>
      <c r="K780" s="33"/>
      <c r="L780" s="31"/>
      <c r="M780" s="35"/>
      <c r="N780" s="30"/>
      <c r="O780" s="30"/>
      <c r="P780" s="36"/>
      <c r="Q780" s="38">
        <f>IF(OR(C780&lt;&gt;"loan",E780=""),"",IF(ISNA(MATCH(E780,Units!$A$2:$A$501,0)),"",IF(INDEX(Units!$E$2:$E$501,MATCH(E780,Units!$A$2:$A$501,0))="","",IF(K780="","No due date",IF(INT(K780)&gt;INDEX(Units!$E$2:$E$501,MATCH(E780,Units!$A$2:$A$501,0)),"Past cal date","OK")))))</f>
      </c>
      <c r="R780" s="37">
        <f>IF(A780="Overdue",K780+ROW()/10000000,"")</f>
      </c>
    </row>
    <row r="781">
      <c r="A781" s="38">
        <f>IF(C781="","",IF(B781="","Needs ID",IF(OR(C781="loan",C781="send_out"),IF(COUNTIF($L$2:$L$1001,B781)&gt;0,"Closed",IF(K781="","Open",IF(K781&lt;NOW(),"Overdue","Open"))),IF(C781="return",IF(OR(L781="",COUNTIF($B$2:$B$1001,L781)=0),"No match",IF(OR(M781="worn",M781="damaged"),"Quarantine","Returned")),IF(C781="issue","Issued",IF(C781="transfer","Moved",IF(C781="write_off","Written off",IF(C781="unfilled","Unfilled",""))))))))</f>
      </c>
      <c r="B781" s="31"/>
      <c r="C781" s="35"/>
      <c r="D781" s="33"/>
      <c r="E781" s="31"/>
      <c r="F781" s="31"/>
      <c r="G781" s="37">
        <f>IF(F781="","",IF(ISNA(MATCH(F781,'Item master'!$A$2:$A$301,0)),"Not in Item master",IFERROR(INDEX('Item master'!$B$2:$B$301,MATCH(F781,'Item master'!$A$2:$A$301,0))&amp;"","")))</f>
      </c>
      <c r="H781" s="34"/>
      <c r="I781" s="31"/>
      <c r="J781" s="31"/>
      <c r="K781" s="33"/>
      <c r="L781" s="31"/>
      <c r="M781" s="35"/>
      <c r="N781" s="30"/>
      <c r="O781" s="30"/>
      <c r="P781" s="36"/>
      <c r="Q781" s="38">
        <f>IF(OR(C781&lt;&gt;"loan",E781=""),"",IF(ISNA(MATCH(E781,Units!$A$2:$A$501,0)),"",IF(INDEX(Units!$E$2:$E$501,MATCH(E781,Units!$A$2:$A$501,0))="","",IF(K781="","No due date",IF(INT(K781)&gt;INDEX(Units!$E$2:$E$501,MATCH(E781,Units!$A$2:$A$501,0)),"Past cal date","OK")))))</f>
      </c>
      <c r="R781" s="37">
        <f>IF(A781="Overdue",K781+ROW()/10000000,"")</f>
      </c>
    </row>
    <row r="782">
      <c r="A782" s="38">
        <f>IF(C782="","",IF(B782="","Needs ID",IF(OR(C782="loan",C782="send_out"),IF(COUNTIF($L$2:$L$1001,B782)&gt;0,"Closed",IF(K782="","Open",IF(K782&lt;NOW(),"Overdue","Open"))),IF(C782="return",IF(OR(L782="",COUNTIF($B$2:$B$1001,L782)=0),"No match",IF(OR(M782="worn",M782="damaged"),"Quarantine","Returned")),IF(C782="issue","Issued",IF(C782="transfer","Moved",IF(C782="write_off","Written off",IF(C782="unfilled","Unfilled",""))))))))</f>
      </c>
      <c r="B782" s="31"/>
      <c r="C782" s="35"/>
      <c r="D782" s="33"/>
      <c r="E782" s="31"/>
      <c r="F782" s="31"/>
      <c r="G782" s="37">
        <f>IF(F782="","",IF(ISNA(MATCH(F782,'Item master'!$A$2:$A$301,0)),"Not in Item master",IFERROR(INDEX('Item master'!$B$2:$B$301,MATCH(F782,'Item master'!$A$2:$A$301,0))&amp;"","")))</f>
      </c>
      <c r="H782" s="34"/>
      <c r="I782" s="31"/>
      <c r="J782" s="31"/>
      <c r="K782" s="33"/>
      <c r="L782" s="31"/>
      <c r="M782" s="35"/>
      <c r="N782" s="30"/>
      <c r="O782" s="30"/>
      <c r="P782" s="36"/>
      <c r="Q782" s="38">
        <f>IF(OR(C782&lt;&gt;"loan",E782=""),"",IF(ISNA(MATCH(E782,Units!$A$2:$A$501,0)),"",IF(INDEX(Units!$E$2:$E$501,MATCH(E782,Units!$A$2:$A$501,0))="","",IF(K782="","No due date",IF(INT(K782)&gt;INDEX(Units!$E$2:$E$501,MATCH(E782,Units!$A$2:$A$501,0)),"Past cal date","OK")))))</f>
      </c>
      <c r="R782" s="37">
        <f>IF(A782="Overdue",K782+ROW()/10000000,"")</f>
      </c>
    </row>
    <row r="783">
      <c r="A783" s="38">
        <f>IF(C783="","",IF(B783="","Needs ID",IF(OR(C783="loan",C783="send_out"),IF(COUNTIF($L$2:$L$1001,B783)&gt;0,"Closed",IF(K783="","Open",IF(K783&lt;NOW(),"Overdue","Open"))),IF(C783="return",IF(OR(L783="",COUNTIF($B$2:$B$1001,L783)=0),"No match",IF(OR(M783="worn",M783="damaged"),"Quarantine","Returned")),IF(C783="issue","Issued",IF(C783="transfer","Moved",IF(C783="write_off","Written off",IF(C783="unfilled","Unfilled",""))))))))</f>
      </c>
      <c r="B783" s="31"/>
      <c r="C783" s="35"/>
      <c r="D783" s="33"/>
      <c r="E783" s="31"/>
      <c r="F783" s="31"/>
      <c r="G783" s="37">
        <f>IF(F783="","",IF(ISNA(MATCH(F783,'Item master'!$A$2:$A$301,0)),"Not in Item master",IFERROR(INDEX('Item master'!$B$2:$B$301,MATCH(F783,'Item master'!$A$2:$A$301,0))&amp;"","")))</f>
      </c>
      <c r="H783" s="34"/>
      <c r="I783" s="31"/>
      <c r="J783" s="31"/>
      <c r="K783" s="33"/>
      <c r="L783" s="31"/>
      <c r="M783" s="35"/>
      <c r="N783" s="30"/>
      <c r="O783" s="30"/>
      <c r="P783" s="36"/>
      <c r="Q783" s="38">
        <f>IF(OR(C783&lt;&gt;"loan",E783=""),"",IF(ISNA(MATCH(E783,Units!$A$2:$A$501,0)),"",IF(INDEX(Units!$E$2:$E$501,MATCH(E783,Units!$A$2:$A$501,0))="","",IF(K783="","No due date",IF(INT(K783)&gt;INDEX(Units!$E$2:$E$501,MATCH(E783,Units!$A$2:$A$501,0)),"Past cal date","OK")))))</f>
      </c>
      <c r="R783" s="37">
        <f>IF(A783="Overdue",K783+ROW()/10000000,"")</f>
      </c>
    </row>
    <row r="784">
      <c r="A784" s="38">
        <f>IF(C784="","",IF(B784="","Needs ID",IF(OR(C784="loan",C784="send_out"),IF(COUNTIF($L$2:$L$1001,B784)&gt;0,"Closed",IF(K784="","Open",IF(K784&lt;NOW(),"Overdue","Open"))),IF(C784="return",IF(OR(L784="",COUNTIF($B$2:$B$1001,L784)=0),"No match",IF(OR(M784="worn",M784="damaged"),"Quarantine","Returned")),IF(C784="issue","Issued",IF(C784="transfer","Moved",IF(C784="write_off","Written off",IF(C784="unfilled","Unfilled",""))))))))</f>
      </c>
      <c r="B784" s="31"/>
      <c r="C784" s="35"/>
      <c r="D784" s="33"/>
      <c r="E784" s="31"/>
      <c r="F784" s="31"/>
      <c r="G784" s="37">
        <f>IF(F784="","",IF(ISNA(MATCH(F784,'Item master'!$A$2:$A$301,0)),"Not in Item master",IFERROR(INDEX('Item master'!$B$2:$B$301,MATCH(F784,'Item master'!$A$2:$A$301,0))&amp;"","")))</f>
      </c>
      <c r="H784" s="34"/>
      <c r="I784" s="31"/>
      <c r="J784" s="31"/>
      <c r="K784" s="33"/>
      <c r="L784" s="31"/>
      <c r="M784" s="35"/>
      <c r="N784" s="30"/>
      <c r="O784" s="30"/>
      <c r="P784" s="36"/>
      <c r="Q784" s="38">
        <f>IF(OR(C784&lt;&gt;"loan",E784=""),"",IF(ISNA(MATCH(E784,Units!$A$2:$A$501,0)),"",IF(INDEX(Units!$E$2:$E$501,MATCH(E784,Units!$A$2:$A$501,0))="","",IF(K784="","No due date",IF(INT(K784)&gt;INDEX(Units!$E$2:$E$501,MATCH(E784,Units!$A$2:$A$501,0)),"Past cal date","OK")))))</f>
      </c>
      <c r="R784" s="37">
        <f>IF(A784="Overdue",K784+ROW()/10000000,"")</f>
      </c>
    </row>
    <row r="785">
      <c r="A785" s="38">
        <f>IF(C785="","",IF(B785="","Needs ID",IF(OR(C785="loan",C785="send_out"),IF(COUNTIF($L$2:$L$1001,B785)&gt;0,"Closed",IF(K785="","Open",IF(K785&lt;NOW(),"Overdue","Open"))),IF(C785="return",IF(OR(L785="",COUNTIF($B$2:$B$1001,L785)=0),"No match",IF(OR(M785="worn",M785="damaged"),"Quarantine","Returned")),IF(C785="issue","Issued",IF(C785="transfer","Moved",IF(C785="write_off","Written off",IF(C785="unfilled","Unfilled",""))))))))</f>
      </c>
      <c r="B785" s="31"/>
      <c r="C785" s="35"/>
      <c r="D785" s="33"/>
      <c r="E785" s="31"/>
      <c r="F785" s="31"/>
      <c r="G785" s="37">
        <f>IF(F785="","",IF(ISNA(MATCH(F785,'Item master'!$A$2:$A$301,0)),"Not in Item master",IFERROR(INDEX('Item master'!$B$2:$B$301,MATCH(F785,'Item master'!$A$2:$A$301,0))&amp;"","")))</f>
      </c>
      <c r="H785" s="34"/>
      <c r="I785" s="31"/>
      <c r="J785" s="31"/>
      <c r="K785" s="33"/>
      <c r="L785" s="31"/>
      <c r="M785" s="35"/>
      <c r="N785" s="30"/>
      <c r="O785" s="30"/>
      <c r="P785" s="36"/>
      <c r="Q785" s="38">
        <f>IF(OR(C785&lt;&gt;"loan",E785=""),"",IF(ISNA(MATCH(E785,Units!$A$2:$A$501,0)),"",IF(INDEX(Units!$E$2:$E$501,MATCH(E785,Units!$A$2:$A$501,0))="","",IF(K785="","No due date",IF(INT(K785)&gt;INDEX(Units!$E$2:$E$501,MATCH(E785,Units!$A$2:$A$501,0)),"Past cal date","OK")))))</f>
      </c>
      <c r="R785" s="37">
        <f>IF(A785="Overdue",K785+ROW()/10000000,"")</f>
      </c>
    </row>
    <row r="786">
      <c r="A786" s="38">
        <f>IF(C786="","",IF(B786="","Needs ID",IF(OR(C786="loan",C786="send_out"),IF(COUNTIF($L$2:$L$1001,B786)&gt;0,"Closed",IF(K786="","Open",IF(K786&lt;NOW(),"Overdue","Open"))),IF(C786="return",IF(OR(L786="",COUNTIF($B$2:$B$1001,L786)=0),"No match",IF(OR(M786="worn",M786="damaged"),"Quarantine","Returned")),IF(C786="issue","Issued",IF(C786="transfer","Moved",IF(C786="write_off","Written off",IF(C786="unfilled","Unfilled",""))))))))</f>
      </c>
      <c r="B786" s="31"/>
      <c r="C786" s="35"/>
      <c r="D786" s="33"/>
      <c r="E786" s="31"/>
      <c r="F786" s="31"/>
      <c r="G786" s="37">
        <f>IF(F786="","",IF(ISNA(MATCH(F786,'Item master'!$A$2:$A$301,0)),"Not in Item master",IFERROR(INDEX('Item master'!$B$2:$B$301,MATCH(F786,'Item master'!$A$2:$A$301,0))&amp;"","")))</f>
      </c>
      <c r="H786" s="34"/>
      <c r="I786" s="31"/>
      <c r="J786" s="31"/>
      <c r="K786" s="33"/>
      <c r="L786" s="31"/>
      <c r="M786" s="35"/>
      <c r="N786" s="30"/>
      <c r="O786" s="30"/>
      <c r="P786" s="36"/>
      <c r="Q786" s="38">
        <f>IF(OR(C786&lt;&gt;"loan",E786=""),"",IF(ISNA(MATCH(E786,Units!$A$2:$A$501,0)),"",IF(INDEX(Units!$E$2:$E$501,MATCH(E786,Units!$A$2:$A$501,0))="","",IF(K786="","No due date",IF(INT(K786)&gt;INDEX(Units!$E$2:$E$501,MATCH(E786,Units!$A$2:$A$501,0)),"Past cal date","OK")))))</f>
      </c>
      <c r="R786" s="37">
        <f>IF(A786="Overdue",K786+ROW()/10000000,"")</f>
      </c>
    </row>
    <row r="787">
      <c r="A787" s="38">
        <f>IF(C787="","",IF(B787="","Needs ID",IF(OR(C787="loan",C787="send_out"),IF(COUNTIF($L$2:$L$1001,B787)&gt;0,"Closed",IF(K787="","Open",IF(K787&lt;NOW(),"Overdue","Open"))),IF(C787="return",IF(OR(L787="",COUNTIF($B$2:$B$1001,L787)=0),"No match",IF(OR(M787="worn",M787="damaged"),"Quarantine","Returned")),IF(C787="issue","Issued",IF(C787="transfer","Moved",IF(C787="write_off","Written off",IF(C787="unfilled","Unfilled",""))))))))</f>
      </c>
      <c r="B787" s="31"/>
      <c r="C787" s="35"/>
      <c r="D787" s="33"/>
      <c r="E787" s="31"/>
      <c r="F787" s="31"/>
      <c r="G787" s="37">
        <f>IF(F787="","",IF(ISNA(MATCH(F787,'Item master'!$A$2:$A$301,0)),"Not in Item master",IFERROR(INDEX('Item master'!$B$2:$B$301,MATCH(F787,'Item master'!$A$2:$A$301,0))&amp;"","")))</f>
      </c>
      <c r="H787" s="34"/>
      <c r="I787" s="31"/>
      <c r="J787" s="31"/>
      <c r="K787" s="33"/>
      <c r="L787" s="31"/>
      <c r="M787" s="35"/>
      <c r="N787" s="30"/>
      <c r="O787" s="30"/>
      <c r="P787" s="36"/>
      <c r="Q787" s="38">
        <f>IF(OR(C787&lt;&gt;"loan",E787=""),"",IF(ISNA(MATCH(E787,Units!$A$2:$A$501,0)),"",IF(INDEX(Units!$E$2:$E$501,MATCH(E787,Units!$A$2:$A$501,0))="","",IF(K787="","No due date",IF(INT(K787)&gt;INDEX(Units!$E$2:$E$501,MATCH(E787,Units!$A$2:$A$501,0)),"Past cal date","OK")))))</f>
      </c>
      <c r="R787" s="37">
        <f>IF(A787="Overdue",K787+ROW()/10000000,"")</f>
      </c>
    </row>
    <row r="788">
      <c r="A788" s="38">
        <f>IF(C788="","",IF(B788="","Needs ID",IF(OR(C788="loan",C788="send_out"),IF(COUNTIF($L$2:$L$1001,B788)&gt;0,"Closed",IF(K788="","Open",IF(K788&lt;NOW(),"Overdue","Open"))),IF(C788="return",IF(OR(L788="",COUNTIF($B$2:$B$1001,L788)=0),"No match",IF(OR(M788="worn",M788="damaged"),"Quarantine","Returned")),IF(C788="issue","Issued",IF(C788="transfer","Moved",IF(C788="write_off","Written off",IF(C788="unfilled","Unfilled",""))))))))</f>
      </c>
      <c r="B788" s="31"/>
      <c r="C788" s="35"/>
      <c r="D788" s="33"/>
      <c r="E788" s="31"/>
      <c r="F788" s="31"/>
      <c r="G788" s="37">
        <f>IF(F788="","",IF(ISNA(MATCH(F788,'Item master'!$A$2:$A$301,0)),"Not in Item master",IFERROR(INDEX('Item master'!$B$2:$B$301,MATCH(F788,'Item master'!$A$2:$A$301,0))&amp;"","")))</f>
      </c>
      <c r="H788" s="34"/>
      <c r="I788" s="31"/>
      <c r="J788" s="31"/>
      <c r="K788" s="33"/>
      <c r="L788" s="31"/>
      <c r="M788" s="35"/>
      <c r="N788" s="30"/>
      <c r="O788" s="30"/>
      <c r="P788" s="36"/>
      <c r="Q788" s="38">
        <f>IF(OR(C788&lt;&gt;"loan",E788=""),"",IF(ISNA(MATCH(E788,Units!$A$2:$A$501,0)),"",IF(INDEX(Units!$E$2:$E$501,MATCH(E788,Units!$A$2:$A$501,0))="","",IF(K788="","No due date",IF(INT(K788)&gt;INDEX(Units!$E$2:$E$501,MATCH(E788,Units!$A$2:$A$501,0)),"Past cal date","OK")))))</f>
      </c>
      <c r="R788" s="37">
        <f>IF(A788="Overdue",K788+ROW()/10000000,"")</f>
      </c>
    </row>
    <row r="789">
      <c r="A789" s="38">
        <f>IF(C789="","",IF(B789="","Needs ID",IF(OR(C789="loan",C789="send_out"),IF(COUNTIF($L$2:$L$1001,B789)&gt;0,"Closed",IF(K789="","Open",IF(K789&lt;NOW(),"Overdue","Open"))),IF(C789="return",IF(OR(L789="",COUNTIF($B$2:$B$1001,L789)=0),"No match",IF(OR(M789="worn",M789="damaged"),"Quarantine","Returned")),IF(C789="issue","Issued",IF(C789="transfer","Moved",IF(C789="write_off","Written off",IF(C789="unfilled","Unfilled",""))))))))</f>
      </c>
      <c r="B789" s="31"/>
      <c r="C789" s="35"/>
      <c r="D789" s="33"/>
      <c r="E789" s="31"/>
      <c r="F789" s="31"/>
      <c r="G789" s="37">
        <f>IF(F789="","",IF(ISNA(MATCH(F789,'Item master'!$A$2:$A$301,0)),"Not in Item master",IFERROR(INDEX('Item master'!$B$2:$B$301,MATCH(F789,'Item master'!$A$2:$A$301,0))&amp;"","")))</f>
      </c>
      <c r="H789" s="34"/>
      <c r="I789" s="31"/>
      <c r="J789" s="31"/>
      <c r="K789" s="33"/>
      <c r="L789" s="31"/>
      <c r="M789" s="35"/>
      <c r="N789" s="30"/>
      <c r="O789" s="30"/>
      <c r="P789" s="36"/>
      <c r="Q789" s="38">
        <f>IF(OR(C789&lt;&gt;"loan",E789=""),"",IF(ISNA(MATCH(E789,Units!$A$2:$A$501,0)),"",IF(INDEX(Units!$E$2:$E$501,MATCH(E789,Units!$A$2:$A$501,0))="","",IF(K789="","No due date",IF(INT(K789)&gt;INDEX(Units!$E$2:$E$501,MATCH(E789,Units!$A$2:$A$501,0)),"Past cal date","OK")))))</f>
      </c>
      <c r="R789" s="37">
        <f>IF(A789="Overdue",K789+ROW()/10000000,"")</f>
      </c>
    </row>
    <row r="790">
      <c r="A790" s="38">
        <f>IF(C790="","",IF(B790="","Needs ID",IF(OR(C790="loan",C790="send_out"),IF(COUNTIF($L$2:$L$1001,B790)&gt;0,"Closed",IF(K790="","Open",IF(K790&lt;NOW(),"Overdue","Open"))),IF(C790="return",IF(OR(L790="",COUNTIF($B$2:$B$1001,L790)=0),"No match",IF(OR(M790="worn",M790="damaged"),"Quarantine","Returned")),IF(C790="issue","Issued",IF(C790="transfer","Moved",IF(C790="write_off","Written off",IF(C790="unfilled","Unfilled",""))))))))</f>
      </c>
      <c r="B790" s="31"/>
      <c r="C790" s="35"/>
      <c r="D790" s="33"/>
      <c r="E790" s="31"/>
      <c r="F790" s="31"/>
      <c r="G790" s="37">
        <f>IF(F790="","",IF(ISNA(MATCH(F790,'Item master'!$A$2:$A$301,0)),"Not in Item master",IFERROR(INDEX('Item master'!$B$2:$B$301,MATCH(F790,'Item master'!$A$2:$A$301,0))&amp;"","")))</f>
      </c>
      <c r="H790" s="34"/>
      <c r="I790" s="31"/>
      <c r="J790" s="31"/>
      <c r="K790" s="33"/>
      <c r="L790" s="31"/>
      <c r="M790" s="35"/>
      <c r="N790" s="30"/>
      <c r="O790" s="30"/>
      <c r="P790" s="36"/>
      <c r="Q790" s="38">
        <f>IF(OR(C790&lt;&gt;"loan",E790=""),"",IF(ISNA(MATCH(E790,Units!$A$2:$A$501,0)),"",IF(INDEX(Units!$E$2:$E$501,MATCH(E790,Units!$A$2:$A$501,0))="","",IF(K790="","No due date",IF(INT(K790)&gt;INDEX(Units!$E$2:$E$501,MATCH(E790,Units!$A$2:$A$501,0)),"Past cal date","OK")))))</f>
      </c>
      <c r="R790" s="37">
        <f>IF(A790="Overdue",K790+ROW()/10000000,"")</f>
      </c>
    </row>
    <row r="791">
      <c r="A791" s="38">
        <f>IF(C791="","",IF(B791="","Needs ID",IF(OR(C791="loan",C791="send_out"),IF(COUNTIF($L$2:$L$1001,B791)&gt;0,"Closed",IF(K791="","Open",IF(K791&lt;NOW(),"Overdue","Open"))),IF(C791="return",IF(OR(L791="",COUNTIF($B$2:$B$1001,L791)=0),"No match",IF(OR(M791="worn",M791="damaged"),"Quarantine","Returned")),IF(C791="issue","Issued",IF(C791="transfer","Moved",IF(C791="write_off","Written off",IF(C791="unfilled","Unfilled",""))))))))</f>
      </c>
      <c r="B791" s="31"/>
      <c r="C791" s="35"/>
      <c r="D791" s="33"/>
      <c r="E791" s="31"/>
      <c r="F791" s="31"/>
      <c r="G791" s="37">
        <f>IF(F791="","",IF(ISNA(MATCH(F791,'Item master'!$A$2:$A$301,0)),"Not in Item master",IFERROR(INDEX('Item master'!$B$2:$B$301,MATCH(F791,'Item master'!$A$2:$A$301,0))&amp;"","")))</f>
      </c>
      <c r="H791" s="34"/>
      <c r="I791" s="31"/>
      <c r="J791" s="31"/>
      <c r="K791" s="33"/>
      <c r="L791" s="31"/>
      <c r="M791" s="35"/>
      <c r="N791" s="30"/>
      <c r="O791" s="30"/>
      <c r="P791" s="36"/>
      <c r="Q791" s="38">
        <f>IF(OR(C791&lt;&gt;"loan",E791=""),"",IF(ISNA(MATCH(E791,Units!$A$2:$A$501,0)),"",IF(INDEX(Units!$E$2:$E$501,MATCH(E791,Units!$A$2:$A$501,0))="","",IF(K791="","No due date",IF(INT(K791)&gt;INDEX(Units!$E$2:$E$501,MATCH(E791,Units!$A$2:$A$501,0)),"Past cal date","OK")))))</f>
      </c>
      <c r="R791" s="37">
        <f>IF(A791="Overdue",K791+ROW()/10000000,"")</f>
      </c>
    </row>
    <row r="792">
      <c r="A792" s="38">
        <f>IF(C792="","",IF(B792="","Needs ID",IF(OR(C792="loan",C792="send_out"),IF(COUNTIF($L$2:$L$1001,B792)&gt;0,"Closed",IF(K792="","Open",IF(K792&lt;NOW(),"Overdue","Open"))),IF(C792="return",IF(OR(L792="",COUNTIF($B$2:$B$1001,L792)=0),"No match",IF(OR(M792="worn",M792="damaged"),"Quarantine","Returned")),IF(C792="issue","Issued",IF(C792="transfer","Moved",IF(C792="write_off","Written off",IF(C792="unfilled","Unfilled",""))))))))</f>
      </c>
      <c r="B792" s="31"/>
      <c r="C792" s="35"/>
      <c r="D792" s="33"/>
      <c r="E792" s="31"/>
      <c r="F792" s="31"/>
      <c r="G792" s="37">
        <f>IF(F792="","",IF(ISNA(MATCH(F792,'Item master'!$A$2:$A$301,0)),"Not in Item master",IFERROR(INDEX('Item master'!$B$2:$B$301,MATCH(F792,'Item master'!$A$2:$A$301,0))&amp;"","")))</f>
      </c>
      <c r="H792" s="34"/>
      <c r="I792" s="31"/>
      <c r="J792" s="31"/>
      <c r="K792" s="33"/>
      <c r="L792" s="31"/>
      <c r="M792" s="35"/>
      <c r="N792" s="30"/>
      <c r="O792" s="30"/>
      <c r="P792" s="36"/>
      <c r="Q792" s="38">
        <f>IF(OR(C792&lt;&gt;"loan",E792=""),"",IF(ISNA(MATCH(E792,Units!$A$2:$A$501,0)),"",IF(INDEX(Units!$E$2:$E$501,MATCH(E792,Units!$A$2:$A$501,0))="","",IF(K792="","No due date",IF(INT(K792)&gt;INDEX(Units!$E$2:$E$501,MATCH(E792,Units!$A$2:$A$501,0)),"Past cal date","OK")))))</f>
      </c>
      <c r="R792" s="37">
        <f>IF(A792="Overdue",K792+ROW()/10000000,"")</f>
      </c>
    </row>
    <row r="793">
      <c r="A793" s="38">
        <f>IF(C793="","",IF(B793="","Needs ID",IF(OR(C793="loan",C793="send_out"),IF(COUNTIF($L$2:$L$1001,B793)&gt;0,"Closed",IF(K793="","Open",IF(K793&lt;NOW(),"Overdue","Open"))),IF(C793="return",IF(OR(L793="",COUNTIF($B$2:$B$1001,L793)=0),"No match",IF(OR(M793="worn",M793="damaged"),"Quarantine","Returned")),IF(C793="issue","Issued",IF(C793="transfer","Moved",IF(C793="write_off","Written off",IF(C793="unfilled","Unfilled",""))))))))</f>
      </c>
      <c r="B793" s="31"/>
      <c r="C793" s="35"/>
      <c r="D793" s="33"/>
      <c r="E793" s="31"/>
      <c r="F793" s="31"/>
      <c r="G793" s="37">
        <f>IF(F793="","",IF(ISNA(MATCH(F793,'Item master'!$A$2:$A$301,0)),"Not in Item master",IFERROR(INDEX('Item master'!$B$2:$B$301,MATCH(F793,'Item master'!$A$2:$A$301,0))&amp;"","")))</f>
      </c>
      <c r="H793" s="34"/>
      <c r="I793" s="31"/>
      <c r="J793" s="31"/>
      <c r="K793" s="33"/>
      <c r="L793" s="31"/>
      <c r="M793" s="35"/>
      <c r="N793" s="30"/>
      <c r="O793" s="30"/>
      <c r="P793" s="36"/>
      <c r="Q793" s="38">
        <f>IF(OR(C793&lt;&gt;"loan",E793=""),"",IF(ISNA(MATCH(E793,Units!$A$2:$A$501,0)),"",IF(INDEX(Units!$E$2:$E$501,MATCH(E793,Units!$A$2:$A$501,0))="","",IF(K793="","No due date",IF(INT(K793)&gt;INDEX(Units!$E$2:$E$501,MATCH(E793,Units!$A$2:$A$501,0)),"Past cal date","OK")))))</f>
      </c>
      <c r="R793" s="37">
        <f>IF(A793="Overdue",K793+ROW()/10000000,"")</f>
      </c>
    </row>
    <row r="794">
      <c r="A794" s="38">
        <f>IF(C794="","",IF(B794="","Needs ID",IF(OR(C794="loan",C794="send_out"),IF(COUNTIF($L$2:$L$1001,B794)&gt;0,"Closed",IF(K794="","Open",IF(K794&lt;NOW(),"Overdue","Open"))),IF(C794="return",IF(OR(L794="",COUNTIF($B$2:$B$1001,L794)=0),"No match",IF(OR(M794="worn",M794="damaged"),"Quarantine","Returned")),IF(C794="issue","Issued",IF(C794="transfer","Moved",IF(C794="write_off","Written off",IF(C794="unfilled","Unfilled",""))))))))</f>
      </c>
      <c r="B794" s="31"/>
      <c r="C794" s="35"/>
      <c r="D794" s="33"/>
      <c r="E794" s="31"/>
      <c r="F794" s="31"/>
      <c r="G794" s="37">
        <f>IF(F794="","",IF(ISNA(MATCH(F794,'Item master'!$A$2:$A$301,0)),"Not in Item master",IFERROR(INDEX('Item master'!$B$2:$B$301,MATCH(F794,'Item master'!$A$2:$A$301,0))&amp;"","")))</f>
      </c>
      <c r="H794" s="34"/>
      <c r="I794" s="31"/>
      <c r="J794" s="31"/>
      <c r="K794" s="33"/>
      <c r="L794" s="31"/>
      <c r="M794" s="35"/>
      <c r="N794" s="30"/>
      <c r="O794" s="30"/>
      <c r="P794" s="36"/>
      <c r="Q794" s="38">
        <f>IF(OR(C794&lt;&gt;"loan",E794=""),"",IF(ISNA(MATCH(E794,Units!$A$2:$A$501,0)),"",IF(INDEX(Units!$E$2:$E$501,MATCH(E794,Units!$A$2:$A$501,0))="","",IF(K794="","No due date",IF(INT(K794)&gt;INDEX(Units!$E$2:$E$501,MATCH(E794,Units!$A$2:$A$501,0)),"Past cal date","OK")))))</f>
      </c>
      <c r="R794" s="37">
        <f>IF(A794="Overdue",K794+ROW()/10000000,"")</f>
      </c>
    </row>
    <row r="795">
      <c r="A795" s="38">
        <f>IF(C795="","",IF(B795="","Needs ID",IF(OR(C795="loan",C795="send_out"),IF(COUNTIF($L$2:$L$1001,B795)&gt;0,"Closed",IF(K795="","Open",IF(K795&lt;NOW(),"Overdue","Open"))),IF(C795="return",IF(OR(L795="",COUNTIF($B$2:$B$1001,L795)=0),"No match",IF(OR(M795="worn",M795="damaged"),"Quarantine","Returned")),IF(C795="issue","Issued",IF(C795="transfer","Moved",IF(C795="write_off","Written off",IF(C795="unfilled","Unfilled",""))))))))</f>
      </c>
      <c r="B795" s="31"/>
      <c r="C795" s="35"/>
      <c r="D795" s="33"/>
      <c r="E795" s="31"/>
      <c r="F795" s="31"/>
      <c r="G795" s="37">
        <f>IF(F795="","",IF(ISNA(MATCH(F795,'Item master'!$A$2:$A$301,0)),"Not in Item master",IFERROR(INDEX('Item master'!$B$2:$B$301,MATCH(F795,'Item master'!$A$2:$A$301,0))&amp;"","")))</f>
      </c>
      <c r="H795" s="34"/>
      <c r="I795" s="31"/>
      <c r="J795" s="31"/>
      <c r="K795" s="33"/>
      <c r="L795" s="31"/>
      <c r="M795" s="35"/>
      <c r="N795" s="30"/>
      <c r="O795" s="30"/>
      <c r="P795" s="36"/>
      <c r="Q795" s="38">
        <f>IF(OR(C795&lt;&gt;"loan",E795=""),"",IF(ISNA(MATCH(E795,Units!$A$2:$A$501,0)),"",IF(INDEX(Units!$E$2:$E$501,MATCH(E795,Units!$A$2:$A$501,0))="","",IF(K795="","No due date",IF(INT(K795)&gt;INDEX(Units!$E$2:$E$501,MATCH(E795,Units!$A$2:$A$501,0)),"Past cal date","OK")))))</f>
      </c>
      <c r="R795" s="37">
        <f>IF(A795="Overdue",K795+ROW()/10000000,"")</f>
      </c>
    </row>
    <row r="796">
      <c r="A796" s="38">
        <f>IF(C796="","",IF(B796="","Needs ID",IF(OR(C796="loan",C796="send_out"),IF(COUNTIF($L$2:$L$1001,B796)&gt;0,"Closed",IF(K796="","Open",IF(K796&lt;NOW(),"Overdue","Open"))),IF(C796="return",IF(OR(L796="",COUNTIF($B$2:$B$1001,L796)=0),"No match",IF(OR(M796="worn",M796="damaged"),"Quarantine","Returned")),IF(C796="issue","Issued",IF(C796="transfer","Moved",IF(C796="write_off","Written off",IF(C796="unfilled","Unfilled",""))))))))</f>
      </c>
      <c r="B796" s="31"/>
      <c r="C796" s="35"/>
      <c r="D796" s="33"/>
      <c r="E796" s="31"/>
      <c r="F796" s="31"/>
      <c r="G796" s="37">
        <f>IF(F796="","",IF(ISNA(MATCH(F796,'Item master'!$A$2:$A$301,0)),"Not in Item master",IFERROR(INDEX('Item master'!$B$2:$B$301,MATCH(F796,'Item master'!$A$2:$A$301,0))&amp;"","")))</f>
      </c>
      <c r="H796" s="34"/>
      <c r="I796" s="31"/>
      <c r="J796" s="31"/>
      <c r="K796" s="33"/>
      <c r="L796" s="31"/>
      <c r="M796" s="35"/>
      <c r="N796" s="30"/>
      <c r="O796" s="30"/>
      <c r="P796" s="36"/>
      <c r="Q796" s="38">
        <f>IF(OR(C796&lt;&gt;"loan",E796=""),"",IF(ISNA(MATCH(E796,Units!$A$2:$A$501,0)),"",IF(INDEX(Units!$E$2:$E$501,MATCH(E796,Units!$A$2:$A$501,0))="","",IF(K796="","No due date",IF(INT(K796)&gt;INDEX(Units!$E$2:$E$501,MATCH(E796,Units!$A$2:$A$501,0)),"Past cal date","OK")))))</f>
      </c>
      <c r="R796" s="37">
        <f>IF(A796="Overdue",K796+ROW()/10000000,"")</f>
      </c>
    </row>
    <row r="797">
      <c r="A797" s="38">
        <f>IF(C797="","",IF(B797="","Needs ID",IF(OR(C797="loan",C797="send_out"),IF(COUNTIF($L$2:$L$1001,B797)&gt;0,"Closed",IF(K797="","Open",IF(K797&lt;NOW(),"Overdue","Open"))),IF(C797="return",IF(OR(L797="",COUNTIF($B$2:$B$1001,L797)=0),"No match",IF(OR(M797="worn",M797="damaged"),"Quarantine","Returned")),IF(C797="issue","Issued",IF(C797="transfer","Moved",IF(C797="write_off","Written off",IF(C797="unfilled","Unfilled",""))))))))</f>
      </c>
      <c r="B797" s="31"/>
      <c r="C797" s="35"/>
      <c r="D797" s="33"/>
      <c r="E797" s="31"/>
      <c r="F797" s="31"/>
      <c r="G797" s="37">
        <f>IF(F797="","",IF(ISNA(MATCH(F797,'Item master'!$A$2:$A$301,0)),"Not in Item master",IFERROR(INDEX('Item master'!$B$2:$B$301,MATCH(F797,'Item master'!$A$2:$A$301,0))&amp;"","")))</f>
      </c>
      <c r="H797" s="34"/>
      <c r="I797" s="31"/>
      <c r="J797" s="31"/>
      <c r="K797" s="33"/>
      <c r="L797" s="31"/>
      <c r="M797" s="35"/>
      <c r="N797" s="30"/>
      <c r="O797" s="30"/>
      <c r="P797" s="36"/>
      <c r="Q797" s="38">
        <f>IF(OR(C797&lt;&gt;"loan",E797=""),"",IF(ISNA(MATCH(E797,Units!$A$2:$A$501,0)),"",IF(INDEX(Units!$E$2:$E$501,MATCH(E797,Units!$A$2:$A$501,0))="","",IF(K797="","No due date",IF(INT(K797)&gt;INDEX(Units!$E$2:$E$501,MATCH(E797,Units!$A$2:$A$501,0)),"Past cal date","OK")))))</f>
      </c>
      <c r="R797" s="37">
        <f>IF(A797="Overdue",K797+ROW()/10000000,"")</f>
      </c>
    </row>
    <row r="798">
      <c r="A798" s="38">
        <f>IF(C798="","",IF(B798="","Needs ID",IF(OR(C798="loan",C798="send_out"),IF(COUNTIF($L$2:$L$1001,B798)&gt;0,"Closed",IF(K798="","Open",IF(K798&lt;NOW(),"Overdue","Open"))),IF(C798="return",IF(OR(L798="",COUNTIF($B$2:$B$1001,L798)=0),"No match",IF(OR(M798="worn",M798="damaged"),"Quarantine","Returned")),IF(C798="issue","Issued",IF(C798="transfer","Moved",IF(C798="write_off","Written off",IF(C798="unfilled","Unfilled",""))))))))</f>
      </c>
      <c r="B798" s="31"/>
      <c r="C798" s="35"/>
      <c r="D798" s="33"/>
      <c r="E798" s="31"/>
      <c r="F798" s="31"/>
      <c r="G798" s="37">
        <f>IF(F798="","",IF(ISNA(MATCH(F798,'Item master'!$A$2:$A$301,0)),"Not in Item master",IFERROR(INDEX('Item master'!$B$2:$B$301,MATCH(F798,'Item master'!$A$2:$A$301,0))&amp;"","")))</f>
      </c>
      <c r="H798" s="34"/>
      <c r="I798" s="31"/>
      <c r="J798" s="31"/>
      <c r="K798" s="33"/>
      <c r="L798" s="31"/>
      <c r="M798" s="35"/>
      <c r="N798" s="30"/>
      <c r="O798" s="30"/>
      <c r="P798" s="36"/>
      <c r="Q798" s="38">
        <f>IF(OR(C798&lt;&gt;"loan",E798=""),"",IF(ISNA(MATCH(E798,Units!$A$2:$A$501,0)),"",IF(INDEX(Units!$E$2:$E$501,MATCH(E798,Units!$A$2:$A$501,0))="","",IF(K798="","No due date",IF(INT(K798)&gt;INDEX(Units!$E$2:$E$501,MATCH(E798,Units!$A$2:$A$501,0)),"Past cal date","OK")))))</f>
      </c>
      <c r="R798" s="37">
        <f>IF(A798="Overdue",K798+ROW()/10000000,"")</f>
      </c>
    </row>
    <row r="799">
      <c r="A799" s="38">
        <f>IF(C799="","",IF(B799="","Needs ID",IF(OR(C799="loan",C799="send_out"),IF(COUNTIF($L$2:$L$1001,B799)&gt;0,"Closed",IF(K799="","Open",IF(K799&lt;NOW(),"Overdue","Open"))),IF(C799="return",IF(OR(L799="",COUNTIF($B$2:$B$1001,L799)=0),"No match",IF(OR(M799="worn",M799="damaged"),"Quarantine","Returned")),IF(C799="issue","Issued",IF(C799="transfer","Moved",IF(C799="write_off","Written off",IF(C799="unfilled","Unfilled",""))))))))</f>
      </c>
      <c r="B799" s="31"/>
      <c r="C799" s="35"/>
      <c r="D799" s="33"/>
      <c r="E799" s="31"/>
      <c r="F799" s="31"/>
      <c r="G799" s="37">
        <f>IF(F799="","",IF(ISNA(MATCH(F799,'Item master'!$A$2:$A$301,0)),"Not in Item master",IFERROR(INDEX('Item master'!$B$2:$B$301,MATCH(F799,'Item master'!$A$2:$A$301,0))&amp;"","")))</f>
      </c>
      <c r="H799" s="34"/>
      <c r="I799" s="31"/>
      <c r="J799" s="31"/>
      <c r="K799" s="33"/>
      <c r="L799" s="31"/>
      <c r="M799" s="35"/>
      <c r="N799" s="30"/>
      <c r="O799" s="30"/>
      <c r="P799" s="36"/>
      <c r="Q799" s="38">
        <f>IF(OR(C799&lt;&gt;"loan",E799=""),"",IF(ISNA(MATCH(E799,Units!$A$2:$A$501,0)),"",IF(INDEX(Units!$E$2:$E$501,MATCH(E799,Units!$A$2:$A$501,0))="","",IF(K799="","No due date",IF(INT(K799)&gt;INDEX(Units!$E$2:$E$501,MATCH(E799,Units!$A$2:$A$501,0)),"Past cal date","OK")))))</f>
      </c>
      <c r="R799" s="37">
        <f>IF(A799="Overdue",K799+ROW()/10000000,"")</f>
      </c>
    </row>
    <row r="800">
      <c r="A800" s="38">
        <f>IF(C800="","",IF(B800="","Needs ID",IF(OR(C800="loan",C800="send_out"),IF(COUNTIF($L$2:$L$1001,B800)&gt;0,"Closed",IF(K800="","Open",IF(K800&lt;NOW(),"Overdue","Open"))),IF(C800="return",IF(OR(L800="",COUNTIF($B$2:$B$1001,L800)=0),"No match",IF(OR(M800="worn",M800="damaged"),"Quarantine","Returned")),IF(C800="issue","Issued",IF(C800="transfer","Moved",IF(C800="write_off","Written off",IF(C800="unfilled","Unfilled",""))))))))</f>
      </c>
      <c r="B800" s="31"/>
      <c r="C800" s="35"/>
      <c r="D800" s="33"/>
      <c r="E800" s="31"/>
      <c r="F800" s="31"/>
      <c r="G800" s="37">
        <f>IF(F800="","",IF(ISNA(MATCH(F800,'Item master'!$A$2:$A$301,0)),"Not in Item master",IFERROR(INDEX('Item master'!$B$2:$B$301,MATCH(F800,'Item master'!$A$2:$A$301,0))&amp;"","")))</f>
      </c>
      <c r="H800" s="34"/>
      <c r="I800" s="31"/>
      <c r="J800" s="31"/>
      <c r="K800" s="33"/>
      <c r="L800" s="31"/>
      <c r="M800" s="35"/>
      <c r="N800" s="30"/>
      <c r="O800" s="30"/>
      <c r="P800" s="36"/>
      <c r="Q800" s="38">
        <f>IF(OR(C800&lt;&gt;"loan",E800=""),"",IF(ISNA(MATCH(E800,Units!$A$2:$A$501,0)),"",IF(INDEX(Units!$E$2:$E$501,MATCH(E800,Units!$A$2:$A$501,0))="","",IF(K800="","No due date",IF(INT(K800)&gt;INDEX(Units!$E$2:$E$501,MATCH(E800,Units!$A$2:$A$501,0)),"Past cal date","OK")))))</f>
      </c>
      <c r="R800" s="37">
        <f>IF(A800="Overdue",K800+ROW()/10000000,"")</f>
      </c>
    </row>
    <row r="801">
      <c r="A801" s="38">
        <f>IF(C801="","",IF(B801="","Needs ID",IF(OR(C801="loan",C801="send_out"),IF(COUNTIF($L$2:$L$1001,B801)&gt;0,"Closed",IF(K801="","Open",IF(K801&lt;NOW(),"Overdue","Open"))),IF(C801="return",IF(OR(L801="",COUNTIF($B$2:$B$1001,L801)=0),"No match",IF(OR(M801="worn",M801="damaged"),"Quarantine","Returned")),IF(C801="issue","Issued",IF(C801="transfer","Moved",IF(C801="write_off","Written off",IF(C801="unfilled","Unfilled",""))))))))</f>
      </c>
      <c r="B801" s="31"/>
      <c r="C801" s="35"/>
      <c r="D801" s="33"/>
      <c r="E801" s="31"/>
      <c r="F801" s="31"/>
      <c r="G801" s="37">
        <f>IF(F801="","",IF(ISNA(MATCH(F801,'Item master'!$A$2:$A$301,0)),"Not in Item master",IFERROR(INDEX('Item master'!$B$2:$B$301,MATCH(F801,'Item master'!$A$2:$A$301,0))&amp;"","")))</f>
      </c>
      <c r="H801" s="34"/>
      <c r="I801" s="31"/>
      <c r="J801" s="31"/>
      <c r="K801" s="33"/>
      <c r="L801" s="31"/>
      <c r="M801" s="35"/>
      <c r="N801" s="30"/>
      <c r="O801" s="30"/>
      <c r="P801" s="36"/>
      <c r="Q801" s="38">
        <f>IF(OR(C801&lt;&gt;"loan",E801=""),"",IF(ISNA(MATCH(E801,Units!$A$2:$A$501,0)),"",IF(INDEX(Units!$E$2:$E$501,MATCH(E801,Units!$A$2:$A$501,0))="","",IF(K801="","No due date",IF(INT(K801)&gt;INDEX(Units!$E$2:$E$501,MATCH(E801,Units!$A$2:$A$501,0)),"Past cal date","OK")))))</f>
      </c>
      <c r="R801" s="37">
        <f>IF(A801="Overdue",K801+ROW()/10000000,"")</f>
      </c>
    </row>
    <row r="802">
      <c r="A802" s="38">
        <f>IF(C802="","",IF(B802="","Needs ID",IF(OR(C802="loan",C802="send_out"),IF(COUNTIF($L$2:$L$1001,B802)&gt;0,"Closed",IF(K802="","Open",IF(K802&lt;NOW(),"Overdue","Open"))),IF(C802="return",IF(OR(L802="",COUNTIF($B$2:$B$1001,L802)=0),"No match",IF(OR(M802="worn",M802="damaged"),"Quarantine","Returned")),IF(C802="issue","Issued",IF(C802="transfer","Moved",IF(C802="write_off","Written off",IF(C802="unfilled","Unfilled",""))))))))</f>
      </c>
      <c r="B802" s="31"/>
      <c r="C802" s="35"/>
      <c r="D802" s="33"/>
      <c r="E802" s="31"/>
      <c r="F802" s="31"/>
      <c r="G802" s="37">
        <f>IF(F802="","",IF(ISNA(MATCH(F802,'Item master'!$A$2:$A$301,0)),"Not in Item master",IFERROR(INDEX('Item master'!$B$2:$B$301,MATCH(F802,'Item master'!$A$2:$A$301,0))&amp;"","")))</f>
      </c>
      <c r="H802" s="34"/>
      <c r="I802" s="31"/>
      <c r="J802" s="31"/>
      <c r="K802" s="33"/>
      <c r="L802" s="31"/>
      <c r="M802" s="35"/>
      <c r="N802" s="30"/>
      <c r="O802" s="30"/>
      <c r="P802" s="36"/>
      <c r="Q802" s="38">
        <f>IF(OR(C802&lt;&gt;"loan",E802=""),"",IF(ISNA(MATCH(E802,Units!$A$2:$A$501,0)),"",IF(INDEX(Units!$E$2:$E$501,MATCH(E802,Units!$A$2:$A$501,0))="","",IF(K802="","No due date",IF(INT(K802)&gt;INDEX(Units!$E$2:$E$501,MATCH(E802,Units!$A$2:$A$501,0)),"Past cal date","OK")))))</f>
      </c>
      <c r="R802" s="37">
        <f>IF(A802="Overdue",K802+ROW()/10000000,"")</f>
      </c>
    </row>
    <row r="803">
      <c r="A803" s="38">
        <f>IF(C803="","",IF(B803="","Needs ID",IF(OR(C803="loan",C803="send_out"),IF(COUNTIF($L$2:$L$1001,B803)&gt;0,"Closed",IF(K803="","Open",IF(K803&lt;NOW(),"Overdue","Open"))),IF(C803="return",IF(OR(L803="",COUNTIF($B$2:$B$1001,L803)=0),"No match",IF(OR(M803="worn",M803="damaged"),"Quarantine","Returned")),IF(C803="issue","Issued",IF(C803="transfer","Moved",IF(C803="write_off","Written off",IF(C803="unfilled","Unfilled",""))))))))</f>
      </c>
      <c r="B803" s="31"/>
      <c r="C803" s="35"/>
      <c r="D803" s="33"/>
      <c r="E803" s="31"/>
      <c r="F803" s="31"/>
      <c r="G803" s="37">
        <f>IF(F803="","",IF(ISNA(MATCH(F803,'Item master'!$A$2:$A$301,0)),"Not in Item master",IFERROR(INDEX('Item master'!$B$2:$B$301,MATCH(F803,'Item master'!$A$2:$A$301,0))&amp;"","")))</f>
      </c>
      <c r="H803" s="34"/>
      <c r="I803" s="31"/>
      <c r="J803" s="31"/>
      <c r="K803" s="33"/>
      <c r="L803" s="31"/>
      <c r="M803" s="35"/>
      <c r="N803" s="30"/>
      <c r="O803" s="30"/>
      <c r="P803" s="36"/>
      <c r="Q803" s="38">
        <f>IF(OR(C803&lt;&gt;"loan",E803=""),"",IF(ISNA(MATCH(E803,Units!$A$2:$A$501,0)),"",IF(INDEX(Units!$E$2:$E$501,MATCH(E803,Units!$A$2:$A$501,0))="","",IF(K803="","No due date",IF(INT(K803)&gt;INDEX(Units!$E$2:$E$501,MATCH(E803,Units!$A$2:$A$501,0)),"Past cal date","OK")))))</f>
      </c>
      <c r="R803" s="37">
        <f>IF(A803="Overdue",K803+ROW()/10000000,"")</f>
      </c>
    </row>
    <row r="804">
      <c r="A804" s="38">
        <f>IF(C804="","",IF(B804="","Needs ID",IF(OR(C804="loan",C804="send_out"),IF(COUNTIF($L$2:$L$1001,B804)&gt;0,"Closed",IF(K804="","Open",IF(K804&lt;NOW(),"Overdue","Open"))),IF(C804="return",IF(OR(L804="",COUNTIF($B$2:$B$1001,L804)=0),"No match",IF(OR(M804="worn",M804="damaged"),"Quarantine","Returned")),IF(C804="issue","Issued",IF(C804="transfer","Moved",IF(C804="write_off","Written off",IF(C804="unfilled","Unfilled",""))))))))</f>
      </c>
      <c r="B804" s="31"/>
      <c r="C804" s="35"/>
      <c r="D804" s="33"/>
      <c r="E804" s="31"/>
      <c r="F804" s="31"/>
      <c r="G804" s="37">
        <f>IF(F804="","",IF(ISNA(MATCH(F804,'Item master'!$A$2:$A$301,0)),"Not in Item master",IFERROR(INDEX('Item master'!$B$2:$B$301,MATCH(F804,'Item master'!$A$2:$A$301,0))&amp;"","")))</f>
      </c>
      <c r="H804" s="34"/>
      <c r="I804" s="31"/>
      <c r="J804" s="31"/>
      <c r="K804" s="33"/>
      <c r="L804" s="31"/>
      <c r="M804" s="35"/>
      <c r="N804" s="30"/>
      <c r="O804" s="30"/>
      <c r="P804" s="36"/>
      <c r="Q804" s="38">
        <f>IF(OR(C804&lt;&gt;"loan",E804=""),"",IF(ISNA(MATCH(E804,Units!$A$2:$A$501,0)),"",IF(INDEX(Units!$E$2:$E$501,MATCH(E804,Units!$A$2:$A$501,0))="","",IF(K804="","No due date",IF(INT(K804)&gt;INDEX(Units!$E$2:$E$501,MATCH(E804,Units!$A$2:$A$501,0)),"Past cal date","OK")))))</f>
      </c>
      <c r="R804" s="37">
        <f>IF(A804="Overdue",K804+ROW()/10000000,"")</f>
      </c>
    </row>
    <row r="805">
      <c r="A805" s="38">
        <f>IF(C805="","",IF(B805="","Needs ID",IF(OR(C805="loan",C805="send_out"),IF(COUNTIF($L$2:$L$1001,B805)&gt;0,"Closed",IF(K805="","Open",IF(K805&lt;NOW(),"Overdue","Open"))),IF(C805="return",IF(OR(L805="",COUNTIF($B$2:$B$1001,L805)=0),"No match",IF(OR(M805="worn",M805="damaged"),"Quarantine","Returned")),IF(C805="issue","Issued",IF(C805="transfer","Moved",IF(C805="write_off","Written off",IF(C805="unfilled","Unfilled",""))))))))</f>
      </c>
      <c r="B805" s="31"/>
      <c r="C805" s="35"/>
      <c r="D805" s="33"/>
      <c r="E805" s="31"/>
      <c r="F805" s="31"/>
      <c r="G805" s="37">
        <f>IF(F805="","",IF(ISNA(MATCH(F805,'Item master'!$A$2:$A$301,0)),"Not in Item master",IFERROR(INDEX('Item master'!$B$2:$B$301,MATCH(F805,'Item master'!$A$2:$A$301,0))&amp;"","")))</f>
      </c>
      <c r="H805" s="34"/>
      <c r="I805" s="31"/>
      <c r="J805" s="31"/>
      <c r="K805" s="33"/>
      <c r="L805" s="31"/>
      <c r="M805" s="35"/>
      <c r="N805" s="30"/>
      <c r="O805" s="30"/>
      <c r="P805" s="36"/>
      <c r="Q805" s="38">
        <f>IF(OR(C805&lt;&gt;"loan",E805=""),"",IF(ISNA(MATCH(E805,Units!$A$2:$A$501,0)),"",IF(INDEX(Units!$E$2:$E$501,MATCH(E805,Units!$A$2:$A$501,0))="","",IF(K805="","No due date",IF(INT(K805)&gt;INDEX(Units!$E$2:$E$501,MATCH(E805,Units!$A$2:$A$501,0)),"Past cal date","OK")))))</f>
      </c>
      <c r="R805" s="37">
        <f>IF(A805="Overdue",K805+ROW()/10000000,"")</f>
      </c>
    </row>
    <row r="806">
      <c r="A806" s="38">
        <f>IF(C806="","",IF(B806="","Needs ID",IF(OR(C806="loan",C806="send_out"),IF(COUNTIF($L$2:$L$1001,B806)&gt;0,"Closed",IF(K806="","Open",IF(K806&lt;NOW(),"Overdue","Open"))),IF(C806="return",IF(OR(L806="",COUNTIF($B$2:$B$1001,L806)=0),"No match",IF(OR(M806="worn",M806="damaged"),"Quarantine","Returned")),IF(C806="issue","Issued",IF(C806="transfer","Moved",IF(C806="write_off","Written off",IF(C806="unfilled","Unfilled",""))))))))</f>
      </c>
      <c r="B806" s="31"/>
      <c r="C806" s="35"/>
      <c r="D806" s="33"/>
      <c r="E806" s="31"/>
      <c r="F806" s="31"/>
      <c r="G806" s="37">
        <f>IF(F806="","",IF(ISNA(MATCH(F806,'Item master'!$A$2:$A$301,0)),"Not in Item master",IFERROR(INDEX('Item master'!$B$2:$B$301,MATCH(F806,'Item master'!$A$2:$A$301,0))&amp;"","")))</f>
      </c>
      <c r="H806" s="34"/>
      <c r="I806" s="31"/>
      <c r="J806" s="31"/>
      <c r="K806" s="33"/>
      <c r="L806" s="31"/>
      <c r="M806" s="35"/>
      <c r="N806" s="30"/>
      <c r="O806" s="30"/>
      <c r="P806" s="36"/>
      <c r="Q806" s="38">
        <f>IF(OR(C806&lt;&gt;"loan",E806=""),"",IF(ISNA(MATCH(E806,Units!$A$2:$A$501,0)),"",IF(INDEX(Units!$E$2:$E$501,MATCH(E806,Units!$A$2:$A$501,0))="","",IF(K806="","No due date",IF(INT(K806)&gt;INDEX(Units!$E$2:$E$501,MATCH(E806,Units!$A$2:$A$501,0)),"Past cal date","OK")))))</f>
      </c>
      <c r="R806" s="37">
        <f>IF(A806="Overdue",K806+ROW()/10000000,"")</f>
      </c>
    </row>
    <row r="807">
      <c r="A807" s="38">
        <f>IF(C807="","",IF(B807="","Needs ID",IF(OR(C807="loan",C807="send_out"),IF(COUNTIF($L$2:$L$1001,B807)&gt;0,"Closed",IF(K807="","Open",IF(K807&lt;NOW(),"Overdue","Open"))),IF(C807="return",IF(OR(L807="",COUNTIF($B$2:$B$1001,L807)=0),"No match",IF(OR(M807="worn",M807="damaged"),"Quarantine","Returned")),IF(C807="issue","Issued",IF(C807="transfer","Moved",IF(C807="write_off","Written off",IF(C807="unfilled","Unfilled",""))))))))</f>
      </c>
      <c r="B807" s="31"/>
      <c r="C807" s="35"/>
      <c r="D807" s="33"/>
      <c r="E807" s="31"/>
      <c r="F807" s="31"/>
      <c r="G807" s="37">
        <f>IF(F807="","",IF(ISNA(MATCH(F807,'Item master'!$A$2:$A$301,0)),"Not in Item master",IFERROR(INDEX('Item master'!$B$2:$B$301,MATCH(F807,'Item master'!$A$2:$A$301,0))&amp;"","")))</f>
      </c>
      <c r="H807" s="34"/>
      <c r="I807" s="31"/>
      <c r="J807" s="31"/>
      <c r="K807" s="33"/>
      <c r="L807" s="31"/>
      <c r="M807" s="35"/>
      <c r="N807" s="30"/>
      <c r="O807" s="30"/>
      <c r="P807" s="36"/>
      <c r="Q807" s="38">
        <f>IF(OR(C807&lt;&gt;"loan",E807=""),"",IF(ISNA(MATCH(E807,Units!$A$2:$A$501,0)),"",IF(INDEX(Units!$E$2:$E$501,MATCH(E807,Units!$A$2:$A$501,0))="","",IF(K807="","No due date",IF(INT(K807)&gt;INDEX(Units!$E$2:$E$501,MATCH(E807,Units!$A$2:$A$501,0)),"Past cal date","OK")))))</f>
      </c>
      <c r="R807" s="37">
        <f>IF(A807="Overdue",K807+ROW()/10000000,"")</f>
      </c>
    </row>
    <row r="808">
      <c r="A808" s="38">
        <f>IF(C808="","",IF(B808="","Needs ID",IF(OR(C808="loan",C808="send_out"),IF(COUNTIF($L$2:$L$1001,B808)&gt;0,"Closed",IF(K808="","Open",IF(K808&lt;NOW(),"Overdue","Open"))),IF(C808="return",IF(OR(L808="",COUNTIF($B$2:$B$1001,L808)=0),"No match",IF(OR(M808="worn",M808="damaged"),"Quarantine","Returned")),IF(C808="issue","Issued",IF(C808="transfer","Moved",IF(C808="write_off","Written off",IF(C808="unfilled","Unfilled",""))))))))</f>
      </c>
      <c r="B808" s="31"/>
      <c r="C808" s="35"/>
      <c r="D808" s="33"/>
      <c r="E808" s="31"/>
      <c r="F808" s="31"/>
      <c r="G808" s="37">
        <f>IF(F808="","",IF(ISNA(MATCH(F808,'Item master'!$A$2:$A$301,0)),"Not in Item master",IFERROR(INDEX('Item master'!$B$2:$B$301,MATCH(F808,'Item master'!$A$2:$A$301,0))&amp;"","")))</f>
      </c>
      <c r="H808" s="34"/>
      <c r="I808" s="31"/>
      <c r="J808" s="31"/>
      <c r="K808" s="33"/>
      <c r="L808" s="31"/>
      <c r="M808" s="35"/>
      <c r="N808" s="30"/>
      <c r="O808" s="30"/>
      <c r="P808" s="36"/>
      <c r="Q808" s="38">
        <f>IF(OR(C808&lt;&gt;"loan",E808=""),"",IF(ISNA(MATCH(E808,Units!$A$2:$A$501,0)),"",IF(INDEX(Units!$E$2:$E$501,MATCH(E808,Units!$A$2:$A$501,0))="","",IF(K808="","No due date",IF(INT(K808)&gt;INDEX(Units!$E$2:$E$501,MATCH(E808,Units!$A$2:$A$501,0)),"Past cal date","OK")))))</f>
      </c>
      <c r="R808" s="37">
        <f>IF(A808="Overdue",K808+ROW()/10000000,"")</f>
      </c>
    </row>
    <row r="809">
      <c r="A809" s="38">
        <f>IF(C809="","",IF(B809="","Needs ID",IF(OR(C809="loan",C809="send_out"),IF(COUNTIF($L$2:$L$1001,B809)&gt;0,"Closed",IF(K809="","Open",IF(K809&lt;NOW(),"Overdue","Open"))),IF(C809="return",IF(OR(L809="",COUNTIF($B$2:$B$1001,L809)=0),"No match",IF(OR(M809="worn",M809="damaged"),"Quarantine","Returned")),IF(C809="issue","Issued",IF(C809="transfer","Moved",IF(C809="write_off","Written off",IF(C809="unfilled","Unfilled",""))))))))</f>
      </c>
      <c r="B809" s="31"/>
      <c r="C809" s="35"/>
      <c r="D809" s="33"/>
      <c r="E809" s="31"/>
      <c r="F809" s="31"/>
      <c r="G809" s="37">
        <f>IF(F809="","",IF(ISNA(MATCH(F809,'Item master'!$A$2:$A$301,0)),"Not in Item master",IFERROR(INDEX('Item master'!$B$2:$B$301,MATCH(F809,'Item master'!$A$2:$A$301,0))&amp;"","")))</f>
      </c>
      <c r="H809" s="34"/>
      <c r="I809" s="31"/>
      <c r="J809" s="31"/>
      <c r="K809" s="33"/>
      <c r="L809" s="31"/>
      <c r="M809" s="35"/>
      <c r="N809" s="30"/>
      <c r="O809" s="30"/>
      <c r="P809" s="36"/>
      <c r="Q809" s="38">
        <f>IF(OR(C809&lt;&gt;"loan",E809=""),"",IF(ISNA(MATCH(E809,Units!$A$2:$A$501,0)),"",IF(INDEX(Units!$E$2:$E$501,MATCH(E809,Units!$A$2:$A$501,0))="","",IF(K809="","No due date",IF(INT(K809)&gt;INDEX(Units!$E$2:$E$501,MATCH(E809,Units!$A$2:$A$501,0)),"Past cal date","OK")))))</f>
      </c>
      <c r="R809" s="37">
        <f>IF(A809="Overdue",K809+ROW()/10000000,"")</f>
      </c>
    </row>
    <row r="810">
      <c r="A810" s="38">
        <f>IF(C810="","",IF(B810="","Needs ID",IF(OR(C810="loan",C810="send_out"),IF(COUNTIF($L$2:$L$1001,B810)&gt;0,"Closed",IF(K810="","Open",IF(K810&lt;NOW(),"Overdue","Open"))),IF(C810="return",IF(OR(L810="",COUNTIF($B$2:$B$1001,L810)=0),"No match",IF(OR(M810="worn",M810="damaged"),"Quarantine","Returned")),IF(C810="issue","Issued",IF(C810="transfer","Moved",IF(C810="write_off","Written off",IF(C810="unfilled","Unfilled",""))))))))</f>
      </c>
      <c r="B810" s="31"/>
      <c r="C810" s="35"/>
      <c r="D810" s="33"/>
      <c r="E810" s="31"/>
      <c r="F810" s="31"/>
      <c r="G810" s="37">
        <f>IF(F810="","",IF(ISNA(MATCH(F810,'Item master'!$A$2:$A$301,0)),"Not in Item master",IFERROR(INDEX('Item master'!$B$2:$B$301,MATCH(F810,'Item master'!$A$2:$A$301,0))&amp;"","")))</f>
      </c>
      <c r="H810" s="34"/>
      <c r="I810" s="31"/>
      <c r="J810" s="31"/>
      <c r="K810" s="33"/>
      <c r="L810" s="31"/>
      <c r="M810" s="35"/>
      <c r="N810" s="30"/>
      <c r="O810" s="30"/>
      <c r="P810" s="36"/>
      <c r="Q810" s="38">
        <f>IF(OR(C810&lt;&gt;"loan",E810=""),"",IF(ISNA(MATCH(E810,Units!$A$2:$A$501,0)),"",IF(INDEX(Units!$E$2:$E$501,MATCH(E810,Units!$A$2:$A$501,0))="","",IF(K810="","No due date",IF(INT(K810)&gt;INDEX(Units!$E$2:$E$501,MATCH(E810,Units!$A$2:$A$501,0)),"Past cal date","OK")))))</f>
      </c>
      <c r="R810" s="37">
        <f>IF(A810="Overdue",K810+ROW()/10000000,"")</f>
      </c>
    </row>
    <row r="811">
      <c r="A811" s="38">
        <f>IF(C811="","",IF(B811="","Needs ID",IF(OR(C811="loan",C811="send_out"),IF(COUNTIF($L$2:$L$1001,B811)&gt;0,"Closed",IF(K811="","Open",IF(K811&lt;NOW(),"Overdue","Open"))),IF(C811="return",IF(OR(L811="",COUNTIF($B$2:$B$1001,L811)=0),"No match",IF(OR(M811="worn",M811="damaged"),"Quarantine","Returned")),IF(C811="issue","Issued",IF(C811="transfer","Moved",IF(C811="write_off","Written off",IF(C811="unfilled","Unfilled",""))))))))</f>
      </c>
      <c r="B811" s="31"/>
      <c r="C811" s="35"/>
      <c r="D811" s="33"/>
      <c r="E811" s="31"/>
      <c r="F811" s="31"/>
      <c r="G811" s="37">
        <f>IF(F811="","",IF(ISNA(MATCH(F811,'Item master'!$A$2:$A$301,0)),"Not in Item master",IFERROR(INDEX('Item master'!$B$2:$B$301,MATCH(F811,'Item master'!$A$2:$A$301,0))&amp;"","")))</f>
      </c>
      <c r="H811" s="34"/>
      <c r="I811" s="31"/>
      <c r="J811" s="31"/>
      <c r="K811" s="33"/>
      <c r="L811" s="31"/>
      <c r="M811" s="35"/>
      <c r="N811" s="30"/>
      <c r="O811" s="30"/>
      <c r="P811" s="36"/>
      <c r="Q811" s="38">
        <f>IF(OR(C811&lt;&gt;"loan",E811=""),"",IF(ISNA(MATCH(E811,Units!$A$2:$A$501,0)),"",IF(INDEX(Units!$E$2:$E$501,MATCH(E811,Units!$A$2:$A$501,0))="","",IF(K811="","No due date",IF(INT(K811)&gt;INDEX(Units!$E$2:$E$501,MATCH(E811,Units!$A$2:$A$501,0)),"Past cal date","OK")))))</f>
      </c>
      <c r="R811" s="37">
        <f>IF(A811="Overdue",K811+ROW()/10000000,"")</f>
      </c>
    </row>
    <row r="812">
      <c r="A812" s="38">
        <f>IF(C812="","",IF(B812="","Needs ID",IF(OR(C812="loan",C812="send_out"),IF(COUNTIF($L$2:$L$1001,B812)&gt;0,"Closed",IF(K812="","Open",IF(K812&lt;NOW(),"Overdue","Open"))),IF(C812="return",IF(OR(L812="",COUNTIF($B$2:$B$1001,L812)=0),"No match",IF(OR(M812="worn",M812="damaged"),"Quarantine","Returned")),IF(C812="issue","Issued",IF(C812="transfer","Moved",IF(C812="write_off","Written off",IF(C812="unfilled","Unfilled",""))))))))</f>
      </c>
      <c r="B812" s="31"/>
      <c r="C812" s="35"/>
      <c r="D812" s="33"/>
      <c r="E812" s="31"/>
      <c r="F812" s="31"/>
      <c r="G812" s="37">
        <f>IF(F812="","",IF(ISNA(MATCH(F812,'Item master'!$A$2:$A$301,0)),"Not in Item master",IFERROR(INDEX('Item master'!$B$2:$B$301,MATCH(F812,'Item master'!$A$2:$A$301,0))&amp;"","")))</f>
      </c>
      <c r="H812" s="34"/>
      <c r="I812" s="31"/>
      <c r="J812" s="31"/>
      <c r="K812" s="33"/>
      <c r="L812" s="31"/>
      <c r="M812" s="35"/>
      <c r="N812" s="30"/>
      <c r="O812" s="30"/>
      <c r="P812" s="36"/>
      <c r="Q812" s="38">
        <f>IF(OR(C812&lt;&gt;"loan",E812=""),"",IF(ISNA(MATCH(E812,Units!$A$2:$A$501,0)),"",IF(INDEX(Units!$E$2:$E$501,MATCH(E812,Units!$A$2:$A$501,0))="","",IF(K812="","No due date",IF(INT(K812)&gt;INDEX(Units!$E$2:$E$501,MATCH(E812,Units!$A$2:$A$501,0)),"Past cal date","OK")))))</f>
      </c>
      <c r="R812" s="37">
        <f>IF(A812="Overdue",K812+ROW()/10000000,"")</f>
      </c>
    </row>
    <row r="813">
      <c r="A813" s="38">
        <f>IF(C813="","",IF(B813="","Needs ID",IF(OR(C813="loan",C813="send_out"),IF(COUNTIF($L$2:$L$1001,B813)&gt;0,"Closed",IF(K813="","Open",IF(K813&lt;NOW(),"Overdue","Open"))),IF(C813="return",IF(OR(L813="",COUNTIF($B$2:$B$1001,L813)=0),"No match",IF(OR(M813="worn",M813="damaged"),"Quarantine","Returned")),IF(C813="issue","Issued",IF(C813="transfer","Moved",IF(C813="write_off","Written off",IF(C813="unfilled","Unfilled",""))))))))</f>
      </c>
      <c r="B813" s="31"/>
      <c r="C813" s="35"/>
      <c r="D813" s="33"/>
      <c r="E813" s="31"/>
      <c r="F813" s="31"/>
      <c r="G813" s="37">
        <f>IF(F813="","",IF(ISNA(MATCH(F813,'Item master'!$A$2:$A$301,0)),"Not in Item master",IFERROR(INDEX('Item master'!$B$2:$B$301,MATCH(F813,'Item master'!$A$2:$A$301,0))&amp;"","")))</f>
      </c>
      <c r="H813" s="34"/>
      <c r="I813" s="31"/>
      <c r="J813" s="31"/>
      <c r="K813" s="33"/>
      <c r="L813" s="31"/>
      <c r="M813" s="35"/>
      <c r="N813" s="30"/>
      <c r="O813" s="30"/>
      <c r="P813" s="36"/>
      <c r="Q813" s="38">
        <f>IF(OR(C813&lt;&gt;"loan",E813=""),"",IF(ISNA(MATCH(E813,Units!$A$2:$A$501,0)),"",IF(INDEX(Units!$E$2:$E$501,MATCH(E813,Units!$A$2:$A$501,0))="","",IF(K813="","No due date",IF(INT(K813)&gt;INDEX(Units!$E$2:$E$501,MATCH(E813,Units!$A$2:$A$501,0)),"Past cal date","OK")))))</f>
      </c>
      <c r="R813" s="37">
        <f>IF(A813="Overdue",K813+ROW()/10000000,"")</f>
      </c>
    </row>
    <row r="814">
      <c r="A814" s="38">
        <f>IF(C814="","",IF(B814="","Needs ID",IF(OR(C814="loan",C814="send_out"),IF(COUNTIF($L$2:$L$1001,B814)&gt;0,"Closed",IF(K814="","Open",IF(K814&lt;NOW(),"Overdue","Open"))),IF(C814="return",IF(OR(L814="",COUNTIF($B$2:$B$1001,L814)=0),"No match",IF(OR(M814="worn",M814="damaged"),"Quarantine","Returned")),IF(C814="issue","Issued",IF(C814="transfer","Moved",IF(C814="write_off","Written off",IF(C814="unfilled","Unfilled",""))))))))</f>
      </c>
      <c r="B814" s="31"/>
      <c r="C814" s="35"/>
      <c r="D814" s="33"/>
      <c r="E814" s="31"/>
      <c r="F814" s="31"/>
      <c r="G814" s="37">
        <f>IF(F814="","",IF(ISNA(MATCH(F814,'Item master'!$A$2:$A$301,0)),"Not in Item master",IFERROR(INDEX('Item master'!$B$2:$B$301,MATCH(F814,'Item master'!$A$2:$A$301,0))&amp;"","")))</f>
      </c>
      <c r="H814" s="34"/>
      <c r="I814" s="31"/>
      <c r="J814" s="31"/>
      <c r="K814" s="33"/>
      <c r="L814" s="31"/>
      <c r="M814" s="35"/>
      <c r="N814" s="30"/>
      <c r="O814" s="30"/>
      <c r="P814" s="36"/>
      <c r="Q814" s="38">
        <f>IF(OR(C814&lt;&gt;"loan",E814=""),"",IF(ISNA(MATCH(E814,Units!$A$2:$A$501,0)),"",IF(INDEX(Units!$E$2:$E$501,MATCH(E814,Units!$A$2:$A$501,0))="","",IF(K814="","No due date",IF(INT(K814)&gt;INDEX(Units!$E$2:$E$501,MATCH(E814,Units!$A$2:$A$501,0)),"Past cal date","OK")))))</f>
      </c>
      <c r="R814" s="37">
        <f>IF(A814="Overdue",K814+ROW()/10000000,"")</f>
      </c>
    </row>
    <row r="815">
      <c r="A815" s="38">
        <f>IF(C815="","",IF(B815="","Needs ID",IF(OR(C815="loan",C815="send_out"),IF(COUNTIF($L$2:$L$1001,B815)&gt;0,"Closed",IF(K815="","Open",IF(K815&lt;NOW(),"Overdue","Open"))),IF(C815="return",IF(OR(L815="",COUNTIF($B$2:$B$1001,L815)=0),"No match",IF(OR(M815="worn",M815="damaged"),"Quarantine","Returned")),IF(C815="issue","Issued",IF(C815="transfer","Moved",IF(C815="write_off","Written off",IF(C815="unfilled","Unfilled",""))))))))</f>
      </c>
      <c r="B815" s="31"/>
      <c r="C815" s="35"/>
      <c r="D815" s="33"/>
      <c r="E815" s="31"/>
      <c r="F815" s="31"/>
      <c r="G815" s="37">
        <f>IF(F815="","",IF(ISNA(MATCH(F815,'Item master'!$A$2:$A$301,0)),"Not in Item master",IFERROR(INDEX('Item master'!$B$2:$B$301,MATCH(F815,'Item master'!$A$2:$A$301,0))&amp;"","")))</f>
      </c>
      <c r="H815" s="34"/>
      <c r="I815" s="31"/>
      <c r="J815" s="31"/>
      <c r="K815" s="33"/>
      <c r="L815" s="31"/>
      <c r="M815" s="35"/>
      <c r="N815" s="30"/>
      <c r="O815" s="30"/>
      <c r="P815" s="36"/>
      <c r="Q815" s="38">
        <f>IF(OR(C815&lt;&gt;"loan",E815=""),"",IF(ISNA(MATCH(E815,Units!$A$2:$A$501,0)),"",IF(INDEX(Units!$E$2:$E$501,MATCH(E815,Units!$A$2:$A$501,0))="","",IF(K815="","No due date",IF(INT(K815)&gt;INDEX(Units!$E$2:$E$501,MATCH(E815,Units!$A$2:$A$501,0)),"Past cal date","OK")))))</f>
      </c>
      <c r="R815" s="37">
        <f>IF(A815="Overdue",K815+ROW()/10000000,"")</f>
      </c>
    </row>
    <row r="816">
      <c r="A816" s="38">
        <f>IF(C816="","",IF(B816="","Needs ID",IF(OR(C816="loan",C816="send_out"),IF(COUNTIF($L$2:$L$1001,B816)&gt;0,"Closed",IF(K816="","Open",IF(K816&lt;NOW(),"Overdue","Open"))),IF(C816="return",IF(OR(L816="",COUNTIF($B$2:$B$1001,L816)=0),"No match",IF(OR(M816="worn",M816="damaged"),"Quarantine","Returned")),IF(C816="issue","Issued",IF(C816="transfer","Moved",IF(C816="write_off","Written off",IF(C816="unfilled","Unfilled",""))))))))</f>
      </c>
      <c r="B816" s="31"/>
      <c r="C816" s="35"/>
      <c r="D816" s="33"/>
      <c r="E816" s="31"/>
      <c r="F816" s="31"/>
      <c r="G816" s="37">
        <f>IF(F816="","",IF(ISNA(MATCH(F816,'Item master'!$A$2:$A$301,0)),"Not in Item master",IFERROR(INDEX('Item master'!$B$2:$B$301,MATCH(F816,'Item master'!$A$2:$A$301,0))&amp;"","")))</f>
      </c>
      <c r="H816" s="34"/>
      <c r="I816" s="31"/>
      <c r="J816" s="31"/>
      <c r="K816" s="33"/>
      <c r="L816" s="31"/>
      <c r="M816" s="35"/>
      <c r="N816" s="30"/>
      <c r="O816" s="30"/>
      <c r="P816" s="36"/>
      <c r="Q816" s="38">
        <f>IF(OR(C816&lt;&gt;"loan",E816=""),"",IF(ISNA(MATCH(E816,Units!$A$2:$A$501,0)),"",IF(INDEX(Units!$E$2:$E$501,MATCH(E816,Units!$A$2:$A$501,0))="","",IF(K816="","No due date",IF(INT(K816)&gt;INDEX(Units!$E$2:$E$501,MATCH(E816,Units!$A$2:$A$501,0)),"Past cal date","OK")))))</f>
      </c>
      <c r="R816" s="37">
        <f>IF(A816="Overdue",K816+ROW()/10000000,"")</f>
      </c>
    </row>
    <row r="817">
      <c r="A817" s="38">
        <f>IF(C817="","",IF(B817="","Needs ID",IF(OR(C817="loan",C817="send_out"),IF(COUNTIF($L$2:$L$1001,B817)&gt;0,"Closed",IF(K817="","Open",IF(K817&lt;NOW(),"Overdue","Open"))),IF(C817="return",IF(OR(L817="",COUNTIF($B$2:$B$1001,L817)=0),"No match",IF(OR(M817="worn",M817="damaged"),"Quarantine","Returned")),IF(C817="issue","Issued",IF(C817="transfer","Moved",IF(C817="write_off","Written off",IF(C817="unfilled","Unfilled",""))))))))</f>
      </c>
      <c r="B817" s="31"/>
      <c r="C817" s="35"/>
      <c r="D817" s="33"/>
      <c r="E817" s="31"/>
      <c r="F817" s="31"/>
      <c r="G817" s="37">
        <f>IF(F817="","",IF(ISNA(MATCH(F817,'Item master'!$A$2:$A$301,0)),"Not in Item master",IFERROR(INDEX('Item master'!$B$2:$B$301,MATCH(F817,'Item master'!$A$2:$A$301,0))&amp;"","")))</f>
      </c>
      <c r="H817" s="34"/>
      <c r="I817" s="31"/>
      <c r="J817" s="31"/>
      <c r="K817" s="33"/>
      <c r="L817" s="31"/>
      <c r="M817" s="35"/>
      <c r="N817" s="30"/>
      <c r="O817" s="30"/>
      <c r="P817" s="36"/>
      <c r="Q817" s="38">
        <f>IF(OR(C817&lt;&gt;"loan",E817=""),"",IF(ISNA(MATCH(E817,Units!$A$2:$A$501,0)),"",IF(INDEX(Units!$E$2:$E$501,MATCH(E817,Units!$A$2:$A$501,0))="","",IF(K817="","No due date",IF(INT(K817)&gt;INDEX(Units!$E$2:$E$501,MATCH(E817,Units!$A$2:$A$501,0)),"Past cal date","OK")))))</f>
      </c>
      <c r="R817" s="37">
        <f>IF(A817="Overdue",K817+ROW()/10000000,"")</f>
      </c>
    </row>
    <row r="818">
      <c r="A818" s="38">
        <f>IF(C818="","",IF(B818="","Needs ID",IF(OR(C818="loan",C818="send_out"),IF(COUNTIF($L$2:$L$1001,B818)&gt;0,"Closed",IF(K818="","Open",IF(K818&lt;NOW(),"Overdue","Open"))),IF(C818="return",IF(OR(L818="",COUNTIF($B$2:$B$1001,L818)=0),"No match",IF(OR(M818="worn",M818="damaged"),"Quarantine","Returned")),IF(C818="issue","Issued",IF(C818="transfer","Moved",IF(C818="write_off","Written off",IF(C818="unfilled","Unfilled",""))))))))</f>
      </c>
      <c r="B818" s="31"/>
      <c r="C818" s="35"/>
      <c r="D818" s="33"/>
      <c r="E818" s="31"/>
      <c r="F818" s="31"/>
      <c r="G818" s="37">
        <f>IF(F818="","",IF(ISNA(MATCH(F818,'Item master'!$A$2:$A$301,0)),"Not in Item master",IFERROR(INDEX('Item master'!$B$2:$B$301,MATCH(F818,'Item master'!$A$2:$A$301,0))&amp;"","")))</f>
      </c>
      <c r="H818" s="34"/>
      <c r="I818" s="31"/>
      <c r="J818" s="31"/>
      <c r="K818" s="33"/>
      <c r="L818" s="31"/>
      <c r="M818" s="35"/>
      <c r="N818" s="30"/>
      <c r="O818" s="30"/>
      <c r="P818" s="36"/>
      <c r="Q818" s="38">
        <f>IF(OR(C818&lt;&gt;"loan",E818=""),"",IF(ISNA(MATCH(E818,Units!$A$2:$A$501,0)),"",IF(INDEX(Units!$E$2:$E$501,MATCH(E818,Units!$A$2:$A$501,0))="","",IF(K818="","No due date",IF(INT(K818)&gt;INDEX(Units!$E$2:$E$501,MATCH(E818,Units!$A$2:$A$501,0)),"Past cal date","OK")))))</f>
      </c>
      <c r="R818" s="37">
        <f>IF(A818="Overdue",K818+ROW()/10000000,"")</f>
      </c>
    </row>
    <row r="819">
      <c r="A819" s="38">
        <f>IF(C819="","",IF(B819="","Needs ID",IF(OR(C819="loan",C819="send_out"),IF(COUNTIF($L$2:$L$1001,B819)&gt;0,"Closed",IF(K819="","Open",IF(K819&lt;NOW(),"Overdue","Open"))),IF(C819="return",IF(OR(L819="",COUNTIF($B$2:$B$1001,L819)=0),"No match",IF(OR(M819="worn",M819="damaged"),"Quarantine","Returned")),IF(C819="issue","Issued",IF(C819="transfer","Moved",IF(C819="write_off","Written off",IF(C819="unfilled","Unfilled",""))))))))</f>
      </c>
      <c r="B819" s="31"/>
      <c r="C819" s="35"/>
      <c r="D819" s="33"/>
      <c r="E819" s="31"/>
      <c r="F819" s="31"/>
      <c r="G819" s="37">
        <f>IF(F819="","",IF(ISNA(MATCH(F819,'Item master'!$A$2:$A$301,0)),"Not in Item master",IFERROR(INDEX('Item master'!$B$2:$B$301,MATCH(F819,'Item master'!$A$2:$A$301,0))&amp;"","")))</f>
      </c>
      <c r="H819" s="34"/>
      <c r="I819" s="31"/>
      <c r="J819" s="31"/>
      <c r="K819" s="33"/>
      <c r="L819" s="31"/>
      <c r="M819" s="35"/>
      <c r="N819" s="30"/>
      <c r="O819" s="30"/>
      <c r="P819" s="36"/>
      <c r="Q819" s="38">
        <f>IF(OR(C819&lt;&gt;"loan",E819=""),"",IF(ISNA(MATCH(E819,Units!$A$2:$A$501,0)),"",IF(INDEX(Units!$E$2:$E$501,MATCH(E819,Units!$A$2:$A$501,0))="","",IF(K819="","No due date",IF(INT(K819)&gt;INDEX(Units!$E$2:$E$501,MATCH(E819,Units!$A$2:$A$501,0)),"Past cal date","OK")))))</f>
      </c>
      <c r="R819" s="37">
        <f>IF(A819="Overdue",K819+ROW()/10000000,"")</f>
      </c>
    </row>
    <row r="820">
      <c r="A820" s="38">
        <f>IF(C820="","",IF(B820="","Needs ID",IF(OR(C820="loan",C820="send_out"),IF(COUNTIF($L$2:$L$1001,B820)&gt;0,"Closed",IF(K820="","Open",IF(K820&lt;NOW(),"Overdue","Open"))),IF(C820="return",IF(OR(L820="",COUNTIF($B$2:$B$1001,L820)=0),"No match",IF(OR(M820="worn",M820="damaged"),"Quarantine","Returned")),IF(C820="issue","Issued",IF(C820="transfer","Moved",IF(C820="write_off","Written off",IF(C820="unfilled","Unfilled",""))))))))</f>
      </c>
      <c r="B820" s="31"/>
      <c r="C820" s="35"/>
      <c r="D820" s="33"/>
      <c r="E820" s="31"/>
      <c r="F820" s="31"/>
      <c r="G820" s="37">
        <f>IF(F820="","",IF(ISNA(MATCH(F820,'Item master'!$A$2:$A$301,0)),"Not in Item master",IFERROR(INDEX('Item master'!$B$2:$B$301,MATCH(F820,'Item master'!$A$2:$A$301,0))&amp;"","")))</f>
      </c>
      <c r="H820" s="34"/>
      <c r="I820" s="31"/>
      <c r="J820" s="31"/>
      <c r="K820" s="33"/>
      <c r="L820" s="31"/>
      <c r="M820" s="35"/>
      <c r="N820" s="30"/>
      <c r="O820" s="30"/>
      <c r="P820" s="36"/>
      <c r="Q820" s="38">
        <f>IF(OR(C820&lt;&gt;"loan",E820=""),"",IF(ISNA(MATCH(E820,Units!$A$2:$A$501,0)),"",IF(INDEX(Units!$E$2:$E$501,MATCH(E820,Units!$A$2:$A$501,0))="","",IF(K820="","No due date",IF(INT(K820)&gt;INDEX(Units!$E$2:$E$501,MATCH(E820,Units!$A$2:$A$501,0)),"Past cal date","OK")))))</f>
      </c>
      <c r="R820" s="37">
        <f>IF(A820="Overdue",K820+ROW()/10000000,"")</f>
      </c>
    </row>
    <row r="821">
      <c r="A821" s="38">
        <f>IF(C821="","",IF(B821="","Needs ID",IF(OR(C821="loan",C821="send_out"),IF(COUNTIF($L$2:$L$1001,B821)&gt;0,"Closed",IF(K821="","Open",IF(K821&lt;NOW(),"Overdue","Open"))),IF(C821="return",IF(OR(L821="",COUNTIF($B$2:$B$1001,L821)=0),"No match",IF(OR(M821="worn",M821="damaged"),"Quarantine","Returned")),IF(C821="issue","Issued",IF(C821="transfer","Moved",IF(C821="write_off","Written off",IF(C821="unfilled","Unfilled",""))))))))</f>
      </c>
      <c r="B821" s="31"/>
      <c r="C821" s="35"/>
      <c r="D821" s="33"/>
      <c r="E821" s="31"/>
      <c r="F821" s="31"/>
      <c r="G821" s="37">
        <f>IF(F821="","",IF(ISNA(MATCH(F821,'Item master'!$A$2:$A$301,0)),"Not in Item master",IFERROR(INDEX('Item master'!$B$2:$B$301,MATCH(F821,'Item master'!$A$2:$A$301,0))&amp;"","")))</f>
      </c>
      <c r="H821" s="34"/>
      <c r="I821" s="31"/>
      <c r="J821" s="31"/>
      <c r="K821" s="33"/>
      <c r="L821" s="31"/>
      <c r="M821" s="35"/>
      <c r="N821" s="30"/>
      <c r="O821" s="30"/>
      <c r="P821" s="36"/>
      <c r="Q821" s="38">
        <f>IF(OR(C821&lt;&gt;"loan",E821=""),"",IF(ISNA(MATCH(E821,Units!$A$2:$A$501,0)),"",IF(INDEX(Units!$E$2:$E$501,MATCH(E821,Units!$A$2:$A$501,0))="","",IF(K821="","No due date",IF(INT(K821)&gt;INDEX(Units!$E$2:$E$501,MATCH(E821,Units!$A$2:$A$501,0)),"Past cal date","OK")))))</f>
      </c>
      <c r="R821" s="37">
        <f>IF(A821="Overdue",K821+ROW()/10000000,"")</f>
      </c>
    </row>
    <row r="822">
      <c r="A822" s="38">
        <f>IF(C822="","",IF(B822="","Needs ID",IF(OR(C822="loan",C822="send_out"),IF(COUNTIF($L$2:$L$1001,B822)&gt;0,"Closed",IF(K822="","Open",IF(K822&lt;NOW(),"Overdue","Open"))),IF(C822="return",IF(OR(L822="",COUNTIF($B$2:$B$1001,L822)=0),"No match",IF(OR(M822="worn",M822="damaged"),"Quarantine","Returned")),IF(C822="issue","Issued",IF(C822="transfer","Moved",IF(C822="write_off","Written off",IF(C822="unfilled","Unfilled",""))))))))</f>
      </c>
      <c r="B822" s="31"/>
      <c r="C822" s="35"/>
      <c r="D822" s="33"/>
      <c r="E822" s="31"/>
      <c r="F822" s="31"/>
      <c r="G822" s="37">
        <f>IF(F822="","",IF(ISNA(MATCH(F822,'Item master'!$A$2:$A$301,0)),"Not in Item master",IFERROR(INDEX('Item master'!$B$2:$B$301,MATCH(F822,'Item master'!$A$2:$A$301,0))&amp;"","")))</f>
      </c>
      <c r="H822" s="34"/>
      <c r="I822" s="31"/>
      <c r="J822" s="31"/>
      <c r="K822" s="33"/>
      <c r="L822" s="31"/>
      <c r="M822" s="35"/>
      <c r="N822" s="30"/>
      <c r="O822" s="30"/>
      <c r="P822" s="36"/>
      <c r="Q822" s="38">
        <f>IF(OR(C822&lt;&gt;"loan",E822=""),"",IF(ISNA(MATCH(E822,Units!$A$2:$A$501,0)),"",IF(INDEX(Units!$E$2:$E$501,MATCH(E822,Units!$A$2:$A$501,0))="","",IF(K822="","No due date",IF(INT(K822)&gt;INDEX(Units!$E$2:$E$501,MATCH(E822,Units!$A$2:$A$501,0)),"Past cal date","OK")))))</f>
      </c>
      <c r="R822" s="37">
        <f>IF(A822="Overdue",K822+ROW()/10000000,"")</f>
      </c>
    </row>
    <row r="823">
      <c r="A823" s="38">
        <f>IF(C823="","",IF(B823="","Needs ID",IF(OR(C823="loan",C823="send_out"),IF(COUNTIF($L$2:$L$1001,B823)&gt;0,"Closed",IF(K823="","Open",IF(K823&lt;NOW(),"Overdue","Open"))),IF(C823="return",IF(OR(L823="",COUNTIF($B$2:$B$1001,L823)=0),"No match",IF(OR(M823="worn",M823="damaged"),"Quarantine","Returned")),IF(C823="issue","Issued",IF(C823="transfer","Moved",IF(C823="write_off","Written off",IF(C823="unfilled","Unfilled",""))))))))</f>
      </c>
      <c r="B823" s="31"/>
      <c r="C823" s="35"/>
      <c r="D823" s="33"/>
      <c r="E823" s="31"/>
      <c r="F823" s="31"/>
      <c r="G823" s="37">
        <f>IF(F823="","",IF(ISNA(MATCH(F823,'Item master'!$A$2:$A$301,0)),"Not in Item master",IFERROR(INDEX('Item master'!$B$2:$B$301,MATCH(F823,'Item master'!$A$2:$A$301,0))&amp;"","")))</f>
      </c>
      <c r="H823" s="34"/>
      <c r="I823" s="31"/>
      <c r="J823" s="31"/>
      <c r="K823" s="33"/>
      <c r="L823" s="31"/>
      <c r="M823" s="35"/>
      <c r="N823" s="30"/>
      <c r="O823" s="30"/>
      <c r="P823" s="36"/>
      <c r="Q823" s="38">
        <f>IF(OR(C823&lt;&gt;"loan",E823=""),"",IF(ISNA(MATCH(E823,Units!$A$2:$A$501,0)),"",IF(INDEX(Units!$E$2:$E$501,MATCH(E823,Units!$A$2:$A$501,0))="","",IF(K823="","No due date",IF(INT(K823)&gt;INDEX(Units!$E$2:$E$501,MATCH(E823,Units!$A$2:$A$501,0)),"Past cal date","OK")))))</f>
      </c>
      <c r="R823" s="37">
        <f>IF(A823="Overdue",K823+ROW()/10000000,"")</f>
      </c>
    </row>
    <row r="824">
      <c r="A824" s="38">
        <f>IF(C824="","",IF(B824="","Needs ID",IF(OR(C824="loan",C824="send_out"),IF(COUNTIF($L$2:$L$1001,B824)&gt;0,"Closed",IF(K824="","Open",IF(K824&lt;NOW(),"Overdue","Open"))),IF(C824="return",IF(OR(L824="",COUNTIF($B$2:$B$1001,L824)=0),"No match",IF(OR(M824="worn",M824="damaged"),"Quarantine","Returned")),IF(C824="issue","Issued",IF(C824="transfer","Moved",IF(C824="write_off","Written off",IF(C824="unfilled","Unfilled",""))))))))</f>
      </c>
      <c r="B824" s="31"/>
      <c r="C824" s="35"/>
      <c r="D824" s="33"/>
      <c r="E824" s="31"/>
      <c r="F824" s="31"/>
      <c r="G824" s="37">
        <f>IF(F824="","",IF(ISNA(MATCH(F824,'Item master'!$A$2:$A$301,0)),"Not in Item master",IFERROR(INDEX('Item master'!$B$2:$B$301,MATCH(F824,'Item master'!$A$2:$A$301,0))&amp;"","")))</f>
      </c>
      <c r="H824" s="34"/>
      <c r="I824" s="31"/>
      <c r="J824" s="31"/>
      <c r="K824" s="33"/>
      <c r="L824" s="31"/>
      <c r="M824" s="35"/>
      <c r="N824" s="30"/>
      <c r="O824" s="30"/>
      <c r="P824" s="36"/>
      <c r="Q824" s="38">
        <f>IF(OR(C824&lt;&gt;"loan",E824=""),"",IF(ISNA(MATCH(E824,Units!$A$2:$A$501,0)),"",IF(INDEX(Units!$E$2:$E$501,MATCH(E824,Units!$A$2:$A$501,0))="","",IF(K824="","No due date",IF(INT(K824)&gt;INDEX(Units!$E$2:$E$501,MATCH(E824,Units!$A$2:$A$501,0)),"Past cal date","OK")))))</f>
      </c>
      <c r="R824" s="37">
        <f>IF(A824="Overdue",K824+ROW()/10000000,"")</f>
      </c>
    </row>
    <row r="825">
      <c r="A825" s="38">
        <f>IF(C825="","",IF(B825="","Needs ID",IF(OR(C825="loan",C825="send_out"),IF(COUNTIF($L$2:$L$1001,B825)&gt;0,"Closed",IF(K825="","Open",IF(K825&lt;NOW(),"Overdue","Open"))),IF(C825="return",IF(OR(L825="",COUNTIF($B$2:$B$1001,L825)=0),"No match",IF(OR(M825="worn",M825="damaged"),"Quarantine","Returned")),IF(C825="issue","Issued",IF(C825="transfer","Moved",IF(C825="write_off","Written off",IF(C825="unfilled","Unfilled",""))))))))</f>
      </c>
      <c r="B825" s="31"/>
      <c r="C825" s="35"/>
      <c r="D825" s="33"/>
      <c r="E825" s="31"/>
      <c r="F825" s="31"/>
      <c r="G825" s="37">
        <f>IF(F825="","",IF(ISNA(MATCH(F825,'Item master'!$A$2:$A$301,0)),"Not in Item master",IFERROR(INDEX('Item master'!$B$2:$B$301,MATCH(F825,'Item master'!$A$2:$A$301,0))&amp;"","")))</f>
      </c>
      <c r="H825" s="34"/>
      <c r="I825" s="31"/>
      <c r="J825" s="31"/>
      <c r="K825" s="33"/>
      <c r="L825" s="31"/>
      <c r="M825" s="35"/>
      <c r="N825" s="30"/>
      <c r="O825" s="30"/>
      <c r="P825" s="36"/>
      <c r="Q825" s="38">
        <f>IF(OR(C825&lt;&gt;"loan",E825=""),"",IF(ISNA(MATCH(E825,Units!$A$2:$A$501,0)),"",IF(INDEX(Units!$E$2:$E$501,MATCH(E825,Units!$A$2:$A$501,0))="","",IF(K825="","No due date",IF(INT(K825)&gt;INDEX(Units!$E$2:$E$501,MATCH(E825,Units!$A$2:$A$501,0)),"Past cal date","OK")))))</f>
      </c>
      <c r="R825" s="37">
        <f>IF(A825="Overdue",K825+ROW()/10000000,"")</f>
      </c>
    </row>
    <row r="826">
      <c r="A826" s="38">
        <f>IF(C826="","",IF(B826="","Needs ID",IF(OR(C826="loan",C826="send_out"),IF(COUNTIF($L$2:$L$1001,B826)&gt;0,"Closed",IF(K826="","Open",IF(K826&lt;NOW(),"Overdue","Open"))),IF(C826="return",IF(OR(L826="",COUNTIF($B$2:$B$1001,L826)=0),"No match",IF(OR(M826="worn",M826="damaged"),"Quarantine","Returned")),IF(C826="issue","Issued",IF(C826="transfer","Moved",IF(C826="write_off","Written off",IF(C826="unfilled","Unfilled",""))))))))</f>
      </c>
      <c r="B826" s="31"/>
      <c r="C826" s="35"/>
      <c r="D826" s="33"/>
      <c r="E826" s="31"/>
      <c r="F826" s="31"/>
      <c r="G826" s="37">
        <f>IF(F826="","",IF(ISNA(MATCH(F826,'Item master'!$A$2:$A$301,0)),"Not in Item master",IFERROR(INDEX('Item master'!$B$2:$B$301,MATCH(F826,'Item master'!$A$2:$A$301,0))&amp;"","")))</f>
      </c>
      <c r="H826" s="34"/>
      <c r="I826" s="31"/>
      <c r="J826" s="31"/>
      <c r="K826" s="33"/>
      <c r="L826" s="31"/>
      <c r="M826" s="35"/>
      <c r="N826" s="30"/>
      <c r="O826" s="30"/>
      <c r="P826" s="36"/>
      <c r="Q826" s="38">
        <f>IF(OR(C826&lt;&gt;"loan",E826=""),"",IF(ISNA(MATCH(E826,Units!$A$2:$A$501,0)),"",IF(INDEX(Units!$E$2:$E$501,MATCH(E826,Units!$A$2:$A$501,0))="","",IF(K826="","No due date",IF(INT(K826)&gt;INDEX(Units!$E$2:$E$501,MATCH(E826,Units!$A$2:$A$501,0)),"Past cal date","OK")))))</f>
      </c>
      <c r="R826" s="37">
        <f>IF(A826="Overdue",K826+ROW()/10000000,"")</f>
      </c>
    </row>
    <row r="827">
      <c r="A827" s="38">
        <f>IF(C827="","",IF(B827="","Needs ID",IF(OR(C827="loan",C827="send_out"),IF(COUNTIF($L$2:$L$1001,B827)&gt;0,"Closed",IF(K827="","Open",IF(K827&lt;NOW(),"Overdue","Open"))),IF(C827="return",IF(OR(L827="",COUNTIF($B$2:$B$1001,L827)=0),"No match",IF(OR(M827="worn",M827="damaged"),"Quarantine","Returned")),IF(C827="issue","Issued",IF(C827="transfer","Moved",IF(C827="write_off","Written off",IF(C827="unfilled","Unfilled",""))))))))</f>
      </c>
      <c r="B827" s="31"/>
      <c r="C827" s="35"/>
      <c r="D827" s="33"/>
      <c r="E827" s="31"/>
      <c r="F827" s="31"/>
      <c r="G827" s="37">
        <f>IF(F827="","",IF(ISNA(MATCH(F827,'Item master'!$A$2:$A$301,0)),"Not in Item master",IFERROR(INDEX('Item master'!$B$2:$B$301,MATCH(F827,'Item master'!$A$2:$A$301,0))&amp;"","")))</f>
      </c>
      <c r="H827" s="34"/>
      <c r="I827" s="31"/>
      <c r="J827" s="31"/>
      <c r="K827" s="33"/>
      <c r="L827" s="31"/>
      <c r="M827" s="35"/>
      <c r="N827" s="30"/>
      <c r="O827" s="30"/>
      <c r="P827" s="36"/>
      <c r="Q827" s="38">
        <f>IF(OR(C827&lt;&gt;"loan",E827=""),"",IF(ISNA(MATCH(E827,Units!$A$2:$A$501,0)),"",IF(INDEX(Units!$E$2:$E$501,MATCH(E827,Units!$A$2:$A$501,0))="","",IF(K827="","No due date",IF(INT(K827)&gt;INDEX(Units!$E$2:$E$501,MATCH(E827,Units!$A$2:$A$501,0)),"Past cal date","OK")))))</f>
      </c>
      <c r="R827" s="37">
        <f>IF(A827="Overdue",K827+ROW()/10000000,"")</f>
      </c>
    </row>
    <row r="828">
      <c r="A828" s="38">
        <f>IF(C828="","",IF(B828="","Needs ID",IF(OR(C828="loan",C828="send_out"),IF(COUNTIF($L$2:$L$1001,B828)&gt;0,"Closed",IF(K828="","Open",IF(K828&lt;NOW(),"Overdue","Open"))),IF(C828="return",IF(OR(L828="",COUNTIF($B$2:$B$1001,L828)=0),"No match",IF(OR(M828="worn",M828="damaged"),"Quarantine","Returned")),IF(C828="issue","Issued",IF(C828="transfer","Moved",IF(C828="write_off","Written off",IF(C828="unfilled","Unfilled",""))))))))</f>
      </c>
      <c r="B828" s="31"/>
      <c r="C828" s="35"/>
      <c r="D828" s="33"/>
      <c r="E828" s="31"/>
      <c r="F828" s="31"/>
      <c r="G828" s="37">
        <f>IF(F828="","",IF(ISNA(MATCH(F828,'Item master'!$A$2:$A$301,0)),"Not in Item master",IFERROR(INDEX('Item master'!$B$2:$B$301,MATCH(F828,'Item master'!$A$2:$A$301,0))&amp;"","")))</f>
      </c>
      <c r="H828" s="34"/>
      <c r="I828" s="31"/>
      <c r="J828" s="31"/>
      <c r="K828" s="33"/>
      <c r="L828" s="31"/>
      <c r="M828" s="35"/>
      <c r="N828" s="30"/>
      <c r="O828" s="30"/>
      <c r="P828" s="36"/>
      <c r="Q828" s="38">
        <f>IF(OR(C828&lt;&gt;"loan",E828=""),"",IF(ISNA(MATCH(E828,Units!$A$2:$A$501,0)),"",IF(INDEX(Units!$E$2:$E$501,MATCH(E828,Units!$A$2:$A$501,0))="","",IF(K828="","No due date",IF(INT(K828)&gt;INDEX(Units!$E$2:$E$501,MATCH(E828,Units!$A$2:$A$501,0)),"Past cal date","OK")))))</f>
      </c>
      <c r="R828" s="37">
        <f>IF(A828="Overdue",K828+ROW()/10000000,"")</f>
      </c>
    </row>
    <row r="829">
      <c r="A829" s="38">
        <f>IF(C829="","",IF(B829="","Needs ID",IF(OR(C829="loan",C829="send_out"),IF(COUNTIF($L$2:$L$1001,B829)&gt;0,"Closed",IF(K829="","Open",IF(K829&lt;NOW(),"Overdue","Open"))),IF(C829="return",IF(OR(L829="",COUNTIF($B$2:$B$1001,L829)=0),"No match",IF(OR(M829="worn",M829="damaged"),"Quarantine","Returned")),IF(C829="issue","Issued",IF(C829="transfer","Moved",IF(C829="write_off","Written off",IF(C829="unfilled","Unfilled",""))))))))</f>
      </c>
      <c r="B829" s="31"/>
      <c r="C829" s="35"/>
      <c r="D829" s="33"/>
      <c r="E829" s="31"/>
      <c r="F829" s="31"/>
      <c r="G829" s="37">
        <f>IF(F829="","",IF(ISNA(MATCH(F829,'Item master'!$A$2:$A$301,0)),"Not in Item master",IFERROR(INDEX('Item master'!$B$2:$B$301,MATCH(F829,'Item master'!$A$2:$A$301,0))&amp;"","")))</f>
      </c>
      <c r="H829" s="34"/>
      <c r="I829" s="31"/>
      <c r="J829" s="31"/>
      <c r="K829" s="33"/>
      <c r="L829" s="31"/>
      <c r="M829" s="35"/>
      <c r="N829" s="30"/>
      <c r="O829" s="30"/>
      <c r="P829" s="36"/>
      <c r="Q829" s="38">
        <f>IF(OR(C829&lt;&gt;"loan",E829=""),"",IF(ISNA(MATCH(E829,Units!$A$2:$A$501,0)),"",IF(INDEX(Units!$E$2:$E$501,MATCH(E829,Units!$A$2:$A$501,0))="","",IF(K829="","No due date",IF(INT(K829)&gt;INDEX(Units!$E$2:$E$501,MATCH(E829,Units!$A$2:$A$501,0)),"Past cal date","OK")))))</f>
      </c>
      <c r="R829" s="37">
        <f>IF(A829="Overdue",K829+ROW()/10000000,"")</f>
      </c>
    </row>
    <row r="830">
      <c r="A830" s="38">
        <f>IF(C830="","",IF(B830="","Needs ID",IF(OR(C830="loan",C830="send_out"),IF(COUNTIF($L$2:$L$1001,B830)&gt;0,"Closed",IF(K830="","Open",IF(K830&lt;NOW(),"Overdue","Open"))),IF(C830="return",IF(OR(L830="",COUNTIF($B$2:$B$1001,L830)=0),"No match",IF(OR(M830="worn",M830="damaged"),"Quarantine","Returned")),IF(C830="issue","Issued",IF(C830="transfer","Moved",IF(C830="write_off","Written off",IF(C830="unfilled","Unfilled",""))))))))</f>
      </c>
      <c r="B830" s="31"/>
      <c r="C830" s="35"/>
      <c r="D830" s="33"/>
      <c r="E830" s="31"/>
      <c r="F830" s="31"/>
      <c r="G830" s="37">
        <f>IF(F830="","",IF(ISNA(MATCH(F830,'Item master'!$A$2:$A$301,0)),"Not in Item master",IFERROR(INDEX('Item master'!$B$2:$B$301,MATCH(F830,'Item master'!$A$2:$A$301,0))&amp;"","")))</f>
      </c>
      <c r="H830" s="34"/>
      <c r="I830" s="31"/>
      <c r="J830" s="31"/>
      <c r="K830" s="33"/>
      <c r="L830" s="31"/>
      <c r="M830" s="35"/>
      <c r="N830" s="30"/>
      <c r="O830" s="30"/>
      <c r="P830" s="36"/>
      <c r="Q830" s="38">
        <f>IF(OR(C830&lt;&gt;"loan",E830=""),"",IF(ISNA(MATCH(E830,Units!$A$2:$A$501,0)),"",IF(INDEX(Units!$E$2:$E$501,MATCH(E830,Units!$A$2:$A$501,0))="","",IF(K830="","No due date",IF(INT(K830)&gt;INDEX(Units!$E$2:$E$501,MATCH(E830,Units!$A$2:$A$501,0)),"Past cal date","OK")))))</f>
      </c>
      <c r="R830" s="37">
        <f>IF(A830="Overdue",K830+ROW()/10000000,"")</f>
      </c>
    </row>
    <row r="831">
      <c r="A831" s="38">
        <f>IF(C831="","",IF(B831="","Needs ID",IF(OR(C831="loan",C831="send_out"),IF(COUNTIF($L$2:$L$1001,B831)&gt;0,"Closed",IF(K831="","Open",IF(K831&lt;NOW(),"Overdue","Open"))),IF(C831="return",IF(OR(L831="",COUNTIF($B$2:$B$1001,L831)=0),"No match",IF(OR(M831="worn",M831="damaged"),"Quarantine","Returned")),IF(C831="issue","Issued",IF(C831="transfer","Moved",IF(C831="write_off","Written off",IF(C831="unfilled","Unfilled",""))))))))</f>
      </c>
      <c r="B831" s="31"/>
      <c r="C831" s="35"/>
      <c r="D831" s="33"/>
      <c r="E831" s="31"/>
      <c r="F831" s="31"/>
      <c r="G831" s="37">
        <f>IF(F831="","",IF(ISNA(MATCH(F831,'Item master'!$A$2:$A$301,0)),"Not in Item master",IFERROR(INDEX('Item master'!$B$2:$B$301,MATCH(F831,'Item master'!$A$2:$A$301,0))&amp;"","")))</f>
      </c>
      <c r="H831" s="34"/>
      <c r="I831" s="31"/>
      <c r="J831" s="31"/>
      <c r="K831" s="33"/>
      <c r="L831" s="31"/>
      <c r="M831" s="35"/>
      <c r="N831" s="30"/>
      <c r="O831" s="30"/>
      <c r="P831" s="36"/>
      <c r="Q831" s="38">
        <f>IF(OR(C831&lt;&gt;"loan",E831=""),"",IF(ISNA(MATCH(E831,Units!$A$2:$A$501,0)),"",IF(INDEX(Units!$E$2:$E$501,MATCH(E831,Units!$A$2:$A$501,0))="","",IF(K831="","No due date",IF(INT(K831)&gt;INDEX(Units!$E$2:$E$501,MATCH(E831,Units!$A$2:$A$501,0)),"Past cal date","OK")))))</f>
      </c>
      <c r="R831" s="37">
        <f>IF(A831="Overdue",K831+ROW()/10000000,"")</f>
      </c>
    </row>
    <row r="832">
      <c r="A832" s="38">
        <f>IF(C832="","",IF(B832="","Needs ID",IF(OR(C832="loan",C832="send_out"),IF(COUNTIF($L$2:$L$1001,B832)&gt;0,"Closed",IF(K832="","Open",IF(K832&lt;NOW(),"Overdue","Open"))),IF(C832="return",IF(OR(L832="",COUNTIF($B$2:$B$1001,L832)=0),"No match",IF(OR(M832="worn",M832="damaged"),"Quarantine","Returned")),IF(C832="issue","Issued",IF(C832="transfer","Moved",IF(C832="write_off","Written off",IF(C832="unfilled","Unfilled",""))))))))</f>
      </c>
      <c r="B832" s="31"/>
      <c r="C832" s="35"/>
      <c r="D832" s="33"/>
      <c r="E832" s="31"/>
      <c r="F832" s="31"/>
      <c r="G832" s="37">
        <f>IF(F832="","",IF(ISNA(MATCH(F832,'Item master'!$A$2:$A$301,0)),"Not in Item master",IFERROR(INDEX('Item master'!$B$2:$B$301,MATCH(F832,'Item master'!$A$2:$A$301,0))&amp;"","")))</f>
      </c>
      <c r="H832" s="34"/>
      <c r="I832" s="31"/>
      <c r="J832" s="31"/>
      <c r="K832" s="33"/>
      <c r="L832" s="31"/>
      <c r="M832" s="35"/>
      <c r="N832" s="30"/>
      <c r="O832" s="30"/>
      <c r="P832" s="36"/>
      <c r="Q832" s="38">
        <f>IF(OR(C832&lt;&gt;"loan",E832=""),"",IF(ISNA(MATCH(E832,Units!$A$2:$A$501,0)),"",IF(INDEX(Units!$E$2:$E$501,MATCH(E832,Units!$A$2:$A$501,0))="","",IF(K832="","No due date",IF(INT(K832)&gt;INDEX(Units!$E$2:$E$501,MATCH(E832,Units!$A$2:$A$501,0)),"Past cal date","OK")))))</f>
      </c>
      <c r="R832" s="37">
        <f>IF(A832="Overdue",K832+ROW()/10000000,"")</f>
      </c>
    </row>
    <row r="833">
      <c r="A833" s="38">
        <f>IF(C833="","",IF(B833="","Needs ID",IF(OR(C833="loan",C833="send_out"),IF(COUNTIF($L$2:$L$1001,B833)&gt;0,"Closed",IF(K833="","Open",IF(K833&lt;NOW(),"Overdue","Open"))),IF(C833="return",IF(OR(L833="",COUNTIF($B$2:$B$1001,L833)=0),"No match",IF(OR(M833="worn",M833="damaged"),"Quarantine","Returned")),IF(C833="issue","Issued",IF(C833="transfer","Moved",IF(C833="write_off","Written off",IF(C833="unfilled","Unfilled",""))))))))</f>
      </c>
      <c r="B833" s="31"/>
      <c r="C833" s="35"/>
      <c r="D833" s="33"/>
      <c r="E833" s="31"/>
      <c r="F833" s="31"/>
      <c r="G833" s="37">
        <f>IF(F833="","",IF(ISNA(MATCH(F833,'Item master'!$A$2:$A$301,0)),"Not in Item master",IFERROR(INDEX('Item master'!$B$2:$B$301,MATCH(F833,'Item master'!$A$2:$A$301,0))&amp;"","")))</f>
      </c>
      <c r="H833" s="34"/>
      <c r="I833" s="31"/>
      <c r="J833" s="31"/>
      <c r="K833" s="33"/>
      <c r="L833" s="31"/>
      <c r="M833" s="35"/>
      <c r="N833" s="30"/>
      <c r="O833" s="30"/>
      <c r="P833" s="36"/>
      <c r="Q833" s="38">
        <f>IF(OR(C833&lt;&gt;"loan",E833=""),"",IF(ISNA(MATCH(E833,Units!$A$2:$A$501,0)),"",IF(INDEX(Units!$E$2:$E$501,MATCH(E833,Units!$A$2:$A$501,0))="","",IF(K833="","No due date",IF(INT(K833)&gt;INDEX(Units!$E$2:$E$501,MATCH(E833,Units!$A$2:$A$501,0)),"Past cal date","OK")))))</f>
      </c>
      <c r="R833" s="37">
        <f>IF(A833="Overdue",K833+ROW()/10000000,"")</f>
      </c>
    </row>
    <row r="834">
      <c r="A834" s="38">
        <f>IF(C834="","",IF(B834="","Needs ID",IF(OR(C834="loan",C834="send_out"),IF(COUNTIF($L$2:$L$1001,B834)&gt;0,"Closed",IF(K834="","Open",IF(K834&lt;NOW(),"Overdue","Open"))),IF(C834="return",IF(OR(L834="",COUNTIF($B$2:$B$1001,L834)=0),"No match",IF(OR(M834="worn",M834="damaged"),"Quarantine","Returned")),IF(C834="issue","Issued",IF(C834="transfer","Moved",IF(C834="write_off","Written off",IF(C834="unfilled","Unfilled",""))))))))</f>
      </c>
      <c r="B834" s="31"/>
      <c r="C834" s="35"/>
      <c r="D834" s="33"/>
      <c r="E834" s="31"/>
      <c r="F834" s="31"/>
      <c r="G834" s="37">
        <f>IF(F834="","",IF(ISNA(MATCH(F834,'Item master'!$A$2:$A$301,0)),"Not in Item master",IFERROR(INDEX('Item master'!$B$2:$B$301,MATCH(F834,'Item master'!$A$2:$A$301,0))&amp;"","")))</f>
      </c>
      <c r="H834" s="34"/>
      <c r="I834" s="31"/>
      <c r="J834" s="31"/>
      <c r="K834" s="33"/>
      <c r="L834" s="31"/>
      <c r="M834" s="35"/>
      <c r="N834" s="30"/>
      <c r="O834" s="30"/>
      <c r="P834" s="36"/>
      <c r="Q834" s="38">
        <f>IF(OR(C834&lt;&gt;"loan",E834=""),"",IF(ISNA(MATCH(E834,Units!$A$2:$A$501,0)),"",IF(INDEX(Units!$E$2:$E$501,MATCH(E834,Units!$A$2:$A$501,0))="","",IF(K834="","No due date",IF(INT(K834)&gt;INDEX(Units!$E$2:$E$501,MATCH(E834,Units!$A$2:$A$501,0)),"Past cal date","OK")))))</f>
      </c>
      <c r="R834" s="37">
        <f>IF(A834="Overdue",K834+ROW()/10000000,"")</f>
      </c>
    </row>
    <row r="835">
      <c r="A835" s="38">
        <f>IF(C835="","",IF(B835="","Needs ID",IF(OR(C835="loan",C835="send_out"),IF(COUNTIF($L$2:$L$1001,B835)&gt;0,"Closed",IF(K835="","Open",IF(K835&lt;NOW(),"Overdue","Open"))),IF(C835="return",IF(OR(L835="",COUNTIF($B$2:$B$1001,L835)=0),"No match",IF(OR(M835="worn",M835="damaged"),"Quarantine","Returned")),IF(C835="issue","Issued",IF(C835="transfer","Moved",IF(C835="write_off","Written off",IF(C835="unfilled","Unfilled",""))))))))</f>
      </c>
      <c r="B835" s="31"/>
      <c r="C835" s="35"/>
      <c r="D835" s="33"/>
      <c r="E835" s="31"/>
      <c r="F835" s="31"/>
      <c r="G835" s="37">
        <f>IF(F835="","",IF(ISNA(MATCH(F835,'Item master'!$A$2:$A$301,0)),"Not in Item master",IFERROR(INDEX('Item master'!$B$2:$B$301,MATCH(F835,'Item master'!$A$2:$A$301,0))&amp;"","")))</f>
      </c>
      <c r="H835" s="34"/>
      <c r="I835" s="31"/>
      <c r="J835" s="31"/>
      <c r="K835" s="33"/>
      <c r="L835" s="31"/>
      <c r="M835" s="35"/>
      <c r="N835" s="30"/>
      <c r="O835" s="30"/>
      <c r="P835" s="36"/>
      <c r="Q835" s="38">
        <f>IF(OR(C835&lt;&gt;"loan",E835=""),"",IF(ISNA(MATCH(E835,Units!$A$2:$A$501,0)),"",IF(INDEX(Units!$E$2:$E$501,MATCH(E835,Units!$A$2:$A$501,0))="","",IF(K835="","No due date",IF(INT(K835)&gt;INDEX(Units!$E$2:$E$501,MATCH(E835,Units!$A$2:$A$501,0)),"Past cal date","OK")))))</f>
      </c>
      <c r="R835" s="37">
        <f>IF(A835="Overdue",K835+ROW()/10000000,"")</f>
      </c>
    </row>
    <row r="836">
      <c r="A836" s="38">
        <f>IF(C836="","",IF(B836="","Needs ID",IF(OR(C836="loan",C836="send_out"),IF(COUNTIF($L$2:$L$1001,B836)&gt;0,"Closed",IF(K836="","Open",IF(K836&lt;NOW(),"Overdue","Open"))),IF(C836="return",IF(OR(L836="",COUNTIF($B$2:$B$1001,L836)=0),"No match",IF(OR(M836="worn",M836="damaged"),"Quarantine","Returned")),IF(C836="issue","Issued",IF(C836="transfer","Moved",IF(C836="write_off","Written off",IF(C836="unfilled","Unfilled",""))))))))</f>
      </c>
      <c r="B836" s="31"/>
      <c r="C836" s="35"/>
      <c r="D836" s="33"/>
      <c r="E836" s="31"/>
      <c r="F836" s="31"/>
      <c r="G836" s="37">
        <f>IF(F836="","",IF(ISNA(MATCH(F836,'Item master'!$A$2:$A$301,0)),"Not in Item master",IFERROR(INDEX('Item master'!$B$2:$B$301,MATCH(F836,'Item master'!$A$2:$A$301,0))&amp;"","")))</f>
      </c>
      <c r="H836" s="34"/>
      <c r="I836" s="31"/>
      <c r="J836" s="31"/>
      <c r="K836" s="33"/>
      <c r="L836" s="31"/>
      <c r="M836" s="35"/>
      <c r="N836" s="30"/>
      <c r="O836" s="30"/>
      <c r="P836" s="36"/>
      <c r="Q836" s="38">
        <f>IF(OR(C836&lt;&gt;"loan",E836=""),"",IF(ISNA(MATCH(E836,Units!$A$2:$A$501,0)),"",IF(INDEX(Units!$E$2:$E$501,MATCH(E836,Units!$A$2:$A$501,0))="","",IF(K836="","No due date",IF(INT(K836)&gt;INDEX(Units!$E$2:$E$501,MATCH(E836,Units!$A$2:$A$501,0)),"Past cal date","OK")))))</f>
      </c>
      <c r="R836" s="37">
        <f>IF(A836="Overdue",K836+ROW()/10000000,"")</f>
      </c>
    </row>
    <row r="837">
      <c r="A837" s="38">
        <f>IF(C837="","",IF(B837="","Needs ID",IF(OR(C837="loan",C837="send_out"),IF(COUNTIF($L$2:$L$1001,B837)&gt;0,"Closed",IF(K837="","Open",IF(K837&lt;NOW(),"Overdue","Open"))),IF(C837="return",IF(OR(L837="",COUNTIF($B$2:$B$1001,L837)=0),"No match",IF(OR(M837="worn",M837="damaged"),"Quarantine","Returned")),IF(C837="issue","Issued",IF(C837="transfer","Moved",IF(C837="write_off","Written off",IF(C837="unfilled","Unfilled",""))))))))</f>
      </c>
      <c r="B837" s="31"/>
      <c r="C837" s="35"/>
      <c r="D837" s="33"/>
      <c r="E837" s="31"/>
      <c r="F837" s="31"/>
      <c r="G837" s="37">
        <f>IF(F837="","",IF(ISNA(MATCH(F837,'Item master'!$A$2:$A$301,0)),"Not in Item master",IFERROR(INDEX('Item master'!$B$2:$B$301,MATCH(F837,'Item master'!$A$2:$A$301,0))&amp;"","")))</f>
      </c>
      <c r="H837" s="34"/>
      <c r="I837" s="31"/>
      <c r="J837" s="31"/>
      <c r="K837" s="33"/>
      <c r="L837" s="31"/>
      <c r="M837" s="35"/>
      <c r="N837" s="30"/>
      <c r="O837" s="30"/>
      <c r="P837" s="36"/>
      <c r="Q837" s="38">
        <f>IF(OR(C837&lt;&gt;"loan",E837=""),"",IF(ISNA(MATCH(E837,Units!$A$2:$A$501,0)),"",IF(INDEX(Units!$E$2:$E$501,MATCH(E837,Units!$A$2:$A$501,0))="","",IF(K837="","No due date",IF(INT(K837)&gt;INDEX(Units!$E$2:$E$501,MATCH(E837,Units!$A$2:$A$501,0)),"Past cal date","OK")))))</f>
      </c>
      <c r="R837" s="37">
        <f>IF(A837="Overdue",K837+ROW()/10000000,"")</f>
      </c>
    </row>
    <row r="838">
      <c r="A838" s="38">
        <f>IF(C838="","",IF(B838="","Needs ID",IF(OR(C838="loan",C838="send_out"),IF(COUNTIF($L$2:$L$1001,B838)&gt;0,"Closed",IF(K838="","Open",IF(K838&lt;NOW(),"Overdue","Open"))),IF(C838="return",IF(OR(L838="",COUNTIF($B$2:$B$1001,L838)=0),"No match",IF(OR(M838="worn",M838="damaged"),"Quarantine","Returned")),IF(C838="issue","Issued",IF(C838="transfer","Moved",IF(C838="write_off","Written off",IF(C838="unfilled","Unfilled",""))))))))</f>
      </c>
      <c r="B838" s="31"/>
      <c r="C838" s="35"/>
      <c r="D838" s="33"/>
      <c r="E838" s="31"/>
      <c r="F838" s="31"/>
      <c r="G838" s="37">
        <f>IF(F838="","",IF(ISNA(MATCH(F838,'Item master'!$A$2:$A$301,0)),"Not in Item master",IFERROR(INDEX('Item master'!$B$2:$B$301,MATCH(F838,'Item master'!$A$2:$A$301,0))&amp;"","")))</f>
      </c>
      <c r="H838" s="34"/>
      <c r="I838" s="31"/>
      <c r="J838" s="31"/>
      <c r="K838" s="33"/>
      <c r="L838" s="31"/>
      <c r="M838" s="35"/>
      <c r="N838" s="30"/>
      <c r="O838" s="30"/>
      <c r="P838" s="36"/>
      <c r="Q838" s="38">
        <f>IF(OR(C838&lt;&gt;"loan",E838=""),"",IF(ISNA(MATCH(E838,Units!$A$2:$A$501,0)),"",IF(INDEX(Units!$E$2:$E$501,MATCH(E838,Units!$A$2:$A$501,0))="","",IF(K838="","No due date",IF(INT(K838)&gt;INDEX(Units!$E$2:$E$501,MATCH(E838,Units!$A$2:$A$501,0)),"Past cal date","OK")))))</f>
      </c>
      <c r="R838" s="37">
        <f>IF(A838="Overdue",K838+ROW()/10000000,"")</f>
      </c>
    </row>
    <row r="839">
      <c r="A839" s="38">
        <f>IF(C839="","",IF(B839="","Needs ID",IF(OR(C839="loan",C839="send_out"),IF(COUNTIF($L$2:$L$1001,B839)&gt;0,"Closed",IF(K839="","Open",IF(K839&lt;NOW(),"Overdue","Open"))),IF(C839="return",IF(OR(L839="",COUNTIF($B$2:$B$1001,L839)=0),"No match",IF(OR(M839="worn",M839="damaged"),"Quarantine","Returned")),IF(C839="issue","Issued",IF(C839="transfer","Moved",IF(C839="write_off","Written off",IF(C839="unfilled","Unfilled",""))))))))</f>
      </c>
      <c r="B839" s="31"/>
      <c r="C839" s="35"/>
      <c r="D839" s="33"/>
      <c r="E839" s="31"/>
      <c r="F839" s="31"/>
      <c r="G839" s="37">
        <f>IF(F839="","",IF(ISNA(MATCH(F839,'Item master'!$A$2:$A$301,0)),"Not in Item master",IFERROR(INDEX('Item master'!$B$2:$B$301,MATCH(F839,'Item master'!$A$2:$A$301,0))&amp;"","")))</f>
      </c>
      <c r="H839" s="34"/>
      <c r="I839" s="31"/>
      <c r="J839" s="31"/>
      <c r="K839" s="33"/>
      <c r="L839" s="31"/>
      <c r="M839" s="35"/>
      <c r="N839" s="30"/>
      <c r="O839" s="30"/>
      <c r="P839" s="36"/>
      <c r="Q839" s="38">
        <f>IF(OR(C839&lt;&gt;"loan",E839=""),"",IF(ISNA(MATCH(E839,Units!$A$2:$A$501,0)),"",IF(INDEX(Units!$E$2:$E$501,MATCH(E839,Units!$A$2:$A$501,0))="","",IF(K839="","No due date",IF(INT(K839)&gt;INDEX(Units!$E$2:$E$501,MATCH(E839,Units!$A$2:$A$501,0)),"Past cal date","OK")))))</f>
      </c>
      <c r="R839" s="37">
        <f>IF(A839="Overdue",K839+ROW()/10000000,"")</f>
      </c>
    </row>
    <row r="840">
      <c r="A840" s="38">
        <f>IF(C840="","",IF(B840="","Needs ID",IF(OR(C840="loan",C840="send_out"),IF(COUNTIF($L$2:$L$1001,B840)&gt;0,"Closed",IF(K840="","Open",IF(K840&lt;NOW(),"Overdue","Open"))),IF(C840="return",IF(OR(L840="",COUNTIF($B$2:$B$1001,L840)=0),"No match",IF(OR(M840="worn",M840="damaged"),"Quarantine","Returned")),IF(C840="issue","Issued",IF(C840="transfer","Moved",IF(C840="write_off","Written off",IF(C840="unfilled","Unfilled",""))))))))</f>
      </c>
      <c r="B840" s="31"/>
      <c r="C840" s="35"/>
      <c r="D840" s="33"/>
      <c r="E840" s="31"/>
      <c r="F840" s="31"/>
      <c r="G840" s="37">
        <f>IF(F840="","",IF(ISNA(MATCH(F840,'Item master'!$A$2:$A$301,0)),"Not in Item master",IFERROR(INDEX('Item master'!$B$2:$B$301,MATCH(F840,'Item master'!$A$2:$A$301,0))&amp;"","")))</f>
      </c>
      <c r="H840" s="34"/>
      <c r="I840" s="31"/>
      <c r="J840" s="31"/>
      <c r="K840" s="33"/>
      <c r="L840" s="31"/>
      <c r="M840" s="35"/>
      <c r="N840" s="30"/>
      <c r="O840" s="30"/>
      <c r="P840" s="36"/>
      <c r="Q840" s="38">
        <f>IF(OR(C840&lt;&gt;"loan",E840=""),"",IF(ISNA(MATCH(E840,Units!$A$2:$A$501,0)),"",IF(INDEX(Units!$E$2:$E$501,MATCH(E840,Units!$A$2:$A$501,0))="","",IF(K840="","No due date",IF(INT(K840)&gt;INDEX(Units!$E$2:$E$501,MATCH(E840,Units!$A$2:$A$501,0)),"Past cal date","OK")))))</f>
      </c>
      <c r="R840" s="37">
        <f>IF(A840="Overdue",K840+ROW()/10000000,"")</f>
      </c>
    </row>
    <row r="841">
      <c r="A841" s="38">
        <f>IF(C841="","",IF(B841="","Needs ID",IF(OR(C841="loan",C841="send_out"),IF(COUNTIF($L$2:$L$1001,B841)&gt;0,"Closed",IF(K841="","Open",IF(K841&lt;NOW(),"Overdue","Open"))),IF(C841="return",IF(OR(L841="",COUNTIF($B$2:$B$1001,L841)=0),"No match",IF(OR(M841="worn",M841="damaged"),"Quarantine","Returned")),IF(C841="issue","Issued",IF(C841="transfer","Moved",IF(C841="write_off","Written off",IF(C841="unfilled","Unfilled",""))))))))</f>
      </c>
      <c r="B841" s="31"/>
      <c r="C841" s="35"/>
      <c r="D841" s="33"/>
      <c r="E841" s="31"/>
      <c r="F841" s="31"/>
      <c r="G841" s="37">
        <f>IF(F841="","",IF(ISNA(MATCH(F841,'Item master'!$A$2:$A$301,0)),"Not in Item master",IFERROR(INDEX('Item master'!$B$2:$B$301,MATCH(F841,'Item master'!$A$2:$A$301,0))&amp;"","")))</f>
      </c>
      <c r="H841" s="34"/>
      <c r="I841" s="31"/>
      <c r="J841" s="31"/>
      <c r="K841" s="33"/>
      <c r="L841" s="31"/>
      <c r="M841" s="35"/>
      <c r="N841" s="30"/>
      <c r="O841" s="30"/>
      <c r="P841" s="36"/>
      <c r="Q841" s="38">
        <f>IF(OR(C841&lt;&gt;"loan",E841=""),"",IF(ISNA(MATCH(E841,Units!$A$2:$A$501,0)),"",IF(INDEX(Units!$E$2:$E$501,MATCH(E841,Units!$A$2:$A$501,0))="","",IF(K841="","No due date",IF(INT(K841)&gt;INDEX(Units!$E$2:$E$501,MATCH(E841,Units!$A$2:$A$501,0)),"Past cal date","OK")))))</f>
      </c>
      <c r="R841" s="37">
        <f>IF(A841="Overdue",K841+ROW()/10000000,"")</f>
      </c>
    </row>
    <row r="842">
      <c r="A842" s="38">
        <f>IF(C842="","",IF(B842="","Needs ID",IF(OR(C842="loan",C842="send_out"),IF(COUNTIF($L$2:$L$1001,B842)&gt;0,"Closed",IF(K842="","Open",IF(K842&lt;NOW(),"Overdue","Open"))),IF(C842="return",IF(OR(L842="",COUNTIF($B$2:$B$1001,L842)=0),"No match",IF(OR(M842="worn",M842="damaged"),"Quarantine","Returned")),IF(C842="issue","Issued",IF(C842="transfer","Moved",IF(C842="write_off","Written off",IF(C842="unfilled","Unfilled",""))))))))</f>
      </c>
      <c r="B842" s="31"/>
      <c r="C842" s="35"/>
      <c r="D842" s="33"/>
      <c r="E842" s="31"/>
      <c r="F842" s="31"/>
      <c r="G842" s="37">
        <f>IF(F842="","",IF(ISNA(MATCH(F842,'Item master'!$A$2:$A$301,0)),"Not in Item master",IFERROR(INDEX('Item master'!$B$2:$B$301,MATCH(F842,'Item master'!$A$2:$A$301,0))&amp;"","")))</f>
      </c>
      <c r="H842" s="34"/>
      <c r="I842" s="31"/>
      <c r="J842" s="31"/>
      <c r="K842" s="33"/>
      <c r="L842" s="31"/>
      <c r="M842" s="35"/>
      <c r="N842" s="30"/>
      <c r="O842" s="30"/>
      <c r="P842" s="36"/>
      <c r="Q842" s="38">
        <f>IF(OR(C842&lt;&gt;"loan",E842=""),"",IF(ISNA(MATCH(E842,Units!$A$2:$A$501,0)),"",IF(INDEX(Units!$E$2:$E$501,MATCH(E842,Units!$A$2:$A$501,0))="","",IF(K842="","No due date",IF(INT(K842)&gt;INDEX(Units!$E$2:$E$501,MATCH(E842,Units!$A$2:$A$501,0)),"Past cal date","OK")))))</f>
      </c>
      <c r="R842" s="37">
        <f>IF(A842="Overdue",K842+ROW()/10000000,"")</f>
      </c>
    </row>
    <row r="843">
      <c r="A843" s="38">
        <f>IF(C843="","",IF(B843="","Needs ID",IF(OR(C843="loan",C843="send_out"),IF(COUNTIF($L$2:$L$1001,B843)&gt;0,"Closed",IF(K843="","Open",IF(K843&lt;NOW(),"Overdue","Open"))),IF(C843="return",IF(OR(L843="",COUNTIF($B$2:$B$1001,L843)=0),"No match",IF(OR(M843="worn",M843="damaged"),"Quarantine","Returned")),IF(C843="issue","Issued",IF(C843="transfer","Moved",IF(C843="write_off","Written off",IF(C843="unfilled","Unfilled",""))))))))</f>
      </c>
      <c r="B843" s="31"/>
      <c r="C843" s="35"/>
      <c r="D843" s="33"/>
      <c r="E843" s="31"/>
      <c r="F843" s="31"/>
      <c r="G843" s="37">
        <f>IF(F843="","",IF(ISNA(MATCH(F843,'Item master'!$A$2:$A$301,0)),"Not in Item master",IFERROR(INDEX('Item master'!$B$2:$B$301,MATCH(F843,'Item master'!$A$2:$A$301,0))&amp;"","")))</f>
      </c>
      <c r="H843" s="34"/>
      <c r="I843" s="31"/>
      <c r="J843" s="31"/>
      <c r="K843" s="33"/>
      <c r="L843" s="31"/>
      <c r="M843" s="35"/>
      <c r="N843" s="30"/>
      <c r="O843" s="30"/>
      <c r="P843" s="36"/>
      <c r="Q843" s="38">
        <f>IF(OR(C843&lt;&gt;"loan",E843=""),"",IF(ISNA(MATCH(E843,Units!$A$2:$A$501,0)),"",IF(INDEX(Units!$E$2:$E$501,MATCH(E843,Units!$A$2:$A$501,0))="","",IF(K843="","No due date",IF(INT(K843)&gt;INDEX(Units!$E$2:$E$501,MATCH(E843,Units!$A$2:$A$501,0)),"Past cal date","OK")))))</f>
      </c>
      <c r="R843" s="37">
        <f>IF(A843="Overdue",K843+ROW()/10000000,"")</f>
      </c>
    </row>
    <row r="844">
      <c r="A844" s="38">
        <f>IF(C844="","",IF(B844="","Needs ID",IF(OR(C844="loan",C844="send_out"),IF(COUNTIF($L$2:$L$1001,B844)&gt;0,"Closed",IF(K844="","Open",IF(K844&lt;NOW(),"Overdue","Open"))),IF(C844="return",IF(OR(L844="",COUNTIF($B$2:$B$1001,L844)=0),"No match",IF(OR(M844="worn",M844="damaged"),"Quarantine","Returned")),IF(C844="issue","Issued",IF(C844="transfer","Moved",IF(C844="write_off","Written off",IF(C844="unfilled","Unfilled",""))))))))</f>
      </c>
      <c r="B844" s="31"/>
      <c r="C844" s="35"/>
      <c r="D844" s="33"/>
      <c r="E844" s="31"/>
      <c r="F844" s="31"/>
      <c r="G844" s="37">
        <f>IF(F844="","",IF(ISNA(MATCH(F844,'Item master'!$A$2:$A$301,0)),"Not in Item master",IFERROR(INDEX('Item master'!$B$2:$B$301,MATCH(F844,'Item master'!$A$2:$A$301,0))&amp;"","")))</f>
      </c>
      <c r="H844" s="34"/>
      <c r="I844" s="31"/>
      <c r="J844" s="31"/>
      <c r="K844" s="33"/>
      <c r="L844" s="31"/>
      <c r="M844" s="35"/>
      <c r="N844" s="30"/>
      <c r="O844" s="30"/>
      <c r="P844" s="36"/>
      <c r="Q844" s="38">
        <f>IF(OR(C844&lt;&gt;"loan",E844=""),"",IF(ISNA(MATCH(E844,Units!$A$2:$A$501,0)),"",IF(INDEX(Units!$E$2:$E$501,MATCH(E844,Units!$A$2:$A$501,0))="","",IF(K844="","No due date",IF(INT(K844)&gt;INDEX(Units!$E$2:$E$501,MATCH(E844,Units!$A$2:$A$501,0)),"Past cal date","OK")))))</f>
      </c>
      <c r="R844" s="37">
        <f>IF(A844="Overdue",K844+ROW()/10000000,"")</f>
      </c>
    </row>
    <row r="845">
      <c r="A845" s="38">
        <f>IF(C845="","",IF(B845="","Needs ID",IF(OR(C845="loan",C845="send_out"),IF(COUNTIF($L$2:$L$1001,B845)&gt;0,"Closed",IF(K845="","Open",IF(K845&lt;NOW(),"Overdue","Open"))),IF(C845="return",IF(OR(L845="",COUNTIF($B$2:$B$1001,L845)=0),"No match",IF(OR(M845="worn",M845="damaged"),"Quarantine","Returned")),IF(C845="issue","Issued",IF(C845="transfer","Moved",IF(C845="write_off","Written off",IF(C845="unfilled","Unfilled",""))))))))</f>
      </c>
      <c r="B845" s="31"/>
      <c r="C845" s="35"/>
      <c r="D845" s="33"/>
      <c r="E845" s="31"/>
      <c r="F845" s="31"/>
      <c r="G845" s="37">
        <f>IF(F845="","",IF(ISNA(MATCH(F845,'Item master'!$A$2:$A$301,0)),"Not in Item master",IFERROR(INDEX('Item master'!$B$2:$B$301,MATCH(F845,'Item master'!$A$2:$A$301,0))&amp;"","")))</f>
      </c>
      <c r="H845" s="34"/>
      <c r="I845" s="31"/>
      <c r="J845" s="31"/>
      <c r="K845" s="33"/>
      <c r="L845" s="31"/>
      <c r="M845" s="35"/>
      <c r="N845" s="30"/>
      <c r="O845" s="30"/>
      <c r="P845" s="36"/>
      <c r="Q845" s="38">
        <f>IF(OR(C845&lt;&gt;"loan",E845=""),"",IF(ISNA(MATCH(E845,Units!$A$2:$A$501,0)),"",IF(INDEX(Units!$E$2:$E$501,MATCH(E845,Units!$A$2:$A$501,0))="","",IF(K845="","No due date",IF(INT(K845)&gt;INDEX(Units!$E$2:$E$501,MATCH(E845,Units!$A$2:$A$501,0)),"Past cal date","OK")))))</f>
      </c>
      <c r="R845" s="37">
        <f>IF(A845="Overdue",K845+ROW()/10000000,"")</f>
      </c>
    </row>
    <row r="846">
      <c r="A846" s="38">
        <f>IF(C846="","",IF(B846="","Needs ID",IF(OR(C846="loan",C846="send_out"),IF(COUNTIF($L$2:$L$1001,B846)&gt;0,"Closed",IF(K846="","Open",IF(K846&lt;NOW(),"Overdue","Open"))),IF(C846="return",IF(OR(L846="",COUNTIF($B$2:$B$1001,L846)=0),"No match",IF(OR(M846="worn",M846="damaged"),"Quarantine","Returned")),IF(C846="issue","Issued",IF(C846="transfer","Moved",IF(C846="write_off","Written off",IF(C846="unfilled","Unfilled",""))))))))</f>
      </c>
      <c r="B846" s="31"/>
      <c r="C846" s="35"/>
      <c r="D846" s="33"/>
      <c r="E846" s="31"/>
      <c r="F846" s="31"/>
      <c r="G846" s="37">
        <f>IF(F846="","",IF(ISNA(MATCH(F846,'Item master'!$A$2:$A$301,0)),"Not in Item master",IFERROR(INDEX('Item master'!$B$2:$B$301,MATCH(F846,'Item master'!$A$2:$A$301,0))&amp;"","")))</f>
      </c>
      <c r="H846" s="34"/>
      <c r="I846" s="31"/>
      <c r="J846" s="31"/>
      <c r="K846" s="33"/>
      <c r="L846" s="31"/>
      <c r="M846" s="35"/>
      <c r="N846" s="30"/>
      <c r="O846" s="30"/>
      <c r="P846" s="36"/>
      <c r="Q846" s="38">
        <f>IF(OR(C846&lt;&gt;"loan",E846=""),"",IF(ISNA(MATCH(E846,Units!$A$2:$A$501,0)),"",IF(INDEX(Units!$E$2:$E$501,MATCH(E846,Units!$A$2:$A$501,0))="","",IF(K846="","No due date",IF(INT(K846)&gt;INDEX(Units!$E$2:$E$501,MATCH(E846,Units!$A$2:$A$501,0)),"Past cal date","OK")))))</f>
      </c>
      <c r="R846" s="37">
        <f>IF(A846="Overdue",K846+ROW()/10000000,"")</f>
      </c>
    </row>
    <row r="847">
      <c r="A847" s="38">
        <f>IF(C847="","",IF(B847="","Needs ID",IF(OR(C847="loan",C847="send_out"),IF(COUNTIF($L$2:$L$1001,B847)&gt;0,"Closed",IF(K847="","Open",IF(K847&lt;NOW(),"Overdue","Open"))),IF(C847="return",IF(OR(L847="",COUNTIF($B$2:$B$1001,L847)=0),"No match",IF(OR(M847="worn",M847="damaged"),"Quarantine","Returned")),IF(C847="issue","Issued",IF(C847="transfer","Moved",IF(C847="write_off","Written off",IF(C847="unfilled","Unfilled",""))))))))</f>
      </c>
      <c r="B847" s="31"/>
      <c r="C847" s="35"/>
      <c r="D847" s="33"/>
      <c r="E847" s="31"/>
      <c r="F847" s="31"/>
      <c r="G847" s="37">
        <f>IF(F847="","",IF(ISNA(MATCH(F847,'Item master'!$A$2:$A$301,0)),"Not in Item master",IFERROR(INDEX('Item master'!$B$2:$B$301,MATCH(F847,'Item master'!$A$2:$A$301,0))&amp;"","")))</f>
      </c>
      <c r="H847" s="34"/>
      <c r="I847" s="31"/>
      <c r="J847" s="31"/>
      <c r="K847" s="33"/>
      <c r="L847" s="31"/>
      <c r="M847" s="35"/>
      <c r="N847" s="30"/>
      <c r="O847" s="30"/>
      <c r="P847" s="36"/>
      <c r="Q847" s="38">
        <f>IF(OR(C847&lt;&gt;"loan",E847=""),"",IF(ISNA(MATCH(E847,Units!$A$2:$A$501,0)),"",IF(INDEX(Units!$E$2:$E$501,MATCH(E847,Units!$A$2:$A$501,0))="","",IF(K847="","No due date",IF(INT(K847)&gt;INDEX(Units!$E$2:$E$501,MATCH(E847,Units!$A$2:$A$501,0)),"Past cal date","OK")))))</f>
      </c>
      <c r="R847" s="37">
        <f>IF(A847="Overdue",K847+ROW()/10000000,"")</f>
      </c>
    </row>
    <row r="848">
      <c r="A848" s="38">
        <f>IF(C848="","",IF(B848="","Needs ID",IF(OR(C848="loan",C848="send_out"),IF(COUNTIF($L$2:$L$1001,B848)&gt;0,"Closed",IF(K848="","Open",IF(K848&lt;NOW(),"Overdue","Open"))),IF(C848="return",IF(OR(L848="",COUNTIF($B$2:$B$1001,L848)=0),"No match",IF(OR(M848="worn",M848="damaged"),"Quarantine","Returned")),IF(C848="issue","Issued",IF(C848="transfer","Moved",IF(C848="write_off","Written off",IF(C848="unfilled","Unfilled",""))))))))</f>
      </c>
      <c r="B848" s="31"/>
      <c r="C848" s="35"/>
      <c r="D848" s="33"/>
      <c r="E848" s="31"/>
      <c r="F848" s="31"/>
      <c r="G848" s="37">
        <f>IF(F848="","",IF(ISNA(MATCH(F848,'Item master'!$A$2:$A$301,0)),"Not in Item master",IFERROR(INDEX('Item master'!$B$2:$B$301,MATCH(F848,'Item master'!$A$2:$A$301,0))&amp;"","")))</f>
      </c>
      <c r="H848" s="34"/>
      <c r="I848" s="31"/>
      <c r="J848" s="31"/>
      <c r="K848" s="33"/>
      <c r="L848" s="31"/>
      <c r="M848" s="35"/>
      <c r="N848" s="30"/>
      <c r="O848" s="30"/>
      <c r="P848" s="36"/>
      <c r="Q848" s="38">
        <f>IF(OR(C848&lt;&gt;"loan",E848=""),"",IF(ISNA(MATCH(E848,Units!$A$2:$A$501,0)),"",IF(INDEX(Units!$E$2:$E$501,MATCH(E848,Units!$A$2:$A$501,0))="","",IF(K848="","No due date",IF(INT(K848)&gt;INDEX(Units!$E$2:$E$501,MATCH(E848,Units!$A$2:$A$501,0)),"Past cal date","OK")))))</f>
      </c>
      <c r="R848" s="37">
        <f>IF(A848="Overdue",K848+ROW()/10000000,"")</f>
      </c>
    </row>
    <row r="849">
      <c r="A849" s="38">
        <f>IF(C849="","",IF(B849="","Needs ID",IF(OR(C849="loan",C849="send_out"),IF(COUNTIF($L$2:$L$1001,B849)&gt;0,"Closed",IF(K849="","Open",IF(K849&lt;NOW(),"Overdue","Open"))),IF(C849="return",IF(OR(L849="",COUNTIF($B$2:$B$1001,L849)=0),"No match",IF(OR(M849="worn",M849="damaged"),"Quarantine","Returned")),IF(C849="issue","Issued",IF(C849="transfer","Moved",IF(C849="write_off","Written off",IF(C849="unfilled","Unfilled",""))))))))</f>
      </c>
      <c r="B849" s="31"/>
      <c r="C849" s="35"/>
      <c r="D849" s="33"/>
      <c r="E849" s="31"/>
      <c r="F849" s="31"/>
      <c r="G849" s="37">
        <f>IF(F849="","",IF(ISNA(MATCH(F849,'Item master'!$A$2:$A$301,0)),"Not in Item master",IFERROR(INDEX('Item master'!$B$2:$B$301,MATCH(F849,'Item master'!$A$2:$A$301,0))&amp;"","")))</f>
      </c>
      <c r="H849" s="34"/>
      <c r="I849" s="31"/>
      <c r="J849" s="31"/>
      <c r="K849" s="33"/>
      <c r="L849" s="31"/>
      <c r="M849" s="35"/>
      <c r="N849" s="30"/>
      <c r="O849" s="30"/>
      <c r="P849" s="36"/>
      <c r="Q849" s="38">
        <f>IF(OR(C849&lt;&gt;"loan",E849=""),"",IF(ISNA(MATCH(E849,Units!$A$2:$A$501,0)),"",IF(INDEX(Units!$E$2:$E$501,MATCH(E849,Units!$A$2:$A$501,0))="","",IF(K849="","No due date",IF(INT(K849)&gt;INDEX(Units!$E$2:$E$501,MATCH(E849,Units!$A$2:$A$501,0)),"Past cal date","OK")))))</f>
      </c>
      <c r="R849" s="37">
        <f>IF(A849="Overdue",K849+ROW()/10000000,"")</f>
      </c>
    </row>
    <row r="850">
      <c r="A850" s="38">
        <f>IF(C850="","",IF(B850="","Needs ID",IF(OR(C850="loan",C850="send_out"),IF(COUNTIF($L$2:$L$1001,B850)&gt;0,"Closed",IF(K850="","Open",IF(K850&lt;NOW(),"Overdue","Open"))),IF(C850="return",IF(OR(L850="",COUNTIF($B$2:$B$1001,L850)=0),"No match",IF(OR(M850="worn",M850="damaged"),"Quarantine","Returned")),IF(C850="issue","Issued",IF(C850="transfer","Moved",IF(C850="write_off","Written off",IF(C850="unfilled","Unfilled",""))))))))</f>
      </c>
      <c r="B850" s="31"/>
      <c r="C850" s="35"/>
      <c r="D850" s="33"/>
      <c r="E850" s="31"/>
      <c r="F850" s="31"/>
      <c r="G850" s="37">
        <f>IF(F850="","",IF(ISNA(MATCH(F850,'Item master'!$A$2:$A$301,0)),"Not in Item master",IFERROR(INDEX('Item master'!$B$2:$B$301,MATCH(F850,'Item master'!$A$2:$A$301,0))&amp;"","")))</f>
      </c>
      <c r="H850" s="34"/>
      <c r="I850" s="31"/>
      <c r="J850" s="31"/>
      <c r="K850" s="33"/>
      <c r="L850" s="31"/>
      <c r="M850" s="35"/>
      <c r="N850" s="30"/>
      <c r="O850" s="30"/>
      <c r="P850" s="36"/>
      <c r="Q850" s="38">
        <f>IF(OR(C850&lt;&gt;"loan",E850=""),"",IF(ISNA(MATCH(E850,Units!$A$2:$A$501,0)),"",IF(INDEX(Units!$E$2:$E$501,MATCH(E850,Units!$A$2:$A$501,0))="","",IF(K850="","No due date",IF(INT(K850)&gt;INDEX(Units!$E$2:$E$501,MATCH(E850,Units!$A$2:$A$501,0)),"Past cal date","OK")))))</f>
      </c>
      <c r="R850" s="37">
        <f>IF(A850="Overdue",K850+ROW()/10000000,"")</f>
      </c>
    </row>
    <row r="851">
      <c r="A851" s="38">
        <f>IF(C851="","",IF(B851="","Needs ID",IF(OR(C851="loan",C851="send_out"),IF(COUNTIF($L$2:$L$1001,B851)&gt;0,"Closed",IF(K851="","Open",IF(K851&lt;NOW(),"Overdue","Open"))),IF(C851="return",IF(OR(L851="",COUNTIF($B$2:$B$1001,L851)=0),"No match",IF(OR(M851="worn",M851="damaged"),"Quarantine","Returned")),IF(C851="issue","Issued",IF(C851="transfer","Moved",IF(C851="write_off","Written off",IF(C851="unfilled","Unfilled",""))))))))</f>
      </c>
      <c r="B851" s="31"/>
      <c r="C851" s="35"/>
      <c r="D851" s="33"/>
      <c r="E851" s="31"/>
      <c r="F851" s="31"/>
      <c r="G851" s="37">
        <f>IF(F851="","",IF(ISNA(MATCH(F851,'Item master'!$A$2:$A$301,0)),"Not in Item master",IFERROR(INDEX('Item master'!$B$2:$B$301,MATCH(F851,'Item master'!$A$2:$A$301,0))&amp;"","")))</f>
      </c>
      <c r="H851" s="34"/>
      <c r="I851" s="31"/>
      <c r="J851" s="31"/>
      <c r="K851" s="33"/>
      <c r="L851" s="31"/>
      <c r="M851" s="35"/>
      <c r="N851" s="30"/>
      <c r="O851" s="30"/>
      <c r="P851" s="36"/>
      <c r="Q851" s="38">
        <f>IF(OR(C851&lt;&gt;"loan",E851=""),"",IF(ISNA(MATCH(E851,Units!$A$2:$A$501,0)),"",IF(INDEX(Units!$E$2:$E$501,MATCH(E851,Units!$A$2:$A$501,0))="","",IF(K851="","No due date",IF(INT(K851)&gt;INDEX(Units!$E$2:$E$501,MATCH(E851,Units!$A$2:$A$501,0)),"Past cal date","OK")))))</f>
      </c>
      <c r="R851" s="37">
        <f>IF(A851="Overdue",K851+ROW()/10000000,"")</f>
      </c>
    </row>
    <row r="852">
      <c r="A852" s="38">
        <f>IF(C852="","",IF(B852="","Needs ID",IF(OR(C852="loan",C852="send_out"),IF(COUNTIF($L$2:$L$1001,B852)&gt;0,"Closed",IF(K852="","Open",IF(K852&lt;NOW(),"Overdue","Open"))),IF(C852="return",IF(OR(L852="",COUNTIF($B$2:$B$1001,L852)=0),"No match",IF(OR(M852="worn",M852="damaged"),"Quarantine","Returned")),IF(C852="issue","Issued",IF(C852="transfer","Moved",IF(C852="write_off","Written off",IF(C852="unfilled","Unfilled",""))))))))</f>
      </c>
      <c r="B852" s="31"/>
      <c r="C852" s="35"/>
      <c r="D852" s="33"/>
      <c r="E852" s="31"/>
      <c r="F852" s="31"/>
      <c r="G852" s="37">
        <f>IF(F852="","",IF(ISNA(MATCH(F852,'Item master'!$A$2:$A$301,0)),"Not in Item master",IFERROR(INDEX('Item master'!$B$2:$B$301,MATCH(F852,'Item master'!$A$2:$A$301,0))&amp;"","")))</f>
      </c>
      <c r="H852" s="34"/>
      <c r="I852" s="31"/>
      <c r="J852" s="31"/>
      <c r="K852" s="33"/>
      <c r="L852" s="31"/>
      <c r="M852" s="35"/>
      <c r="N852" s="30"/>
      <c r="O852" s="30"/>
      <c r="P852" s="36"/>
      <c r="Q852" s="38">
        <f>IF(OR(C852&lt;&gt;"loan",E852=""),"",IF(ISNA(MATCH(E852,Units!$A$2:$A$501,0)),"",IF(INDEX(Units!$E$2:$E$501,MATCH(E852,Units!$A$2:$A$501,0))="","",IF(K852="","No due date",IF(INT(K852)&gt;INDEX(Units!$E$2:$E$501,MATCH(E852,Units!$A$2:$A$501,0)),"Past cal date","OK")))))</f>
      </c>
      <c r="R852" s="37">
        <f>IF(A852="Overdue",K852+ROW()/10000000,"")</f>
      </c>
    </row>
    <row r="853">
      <c r="A853" s="38">
        <f>IF(C853="","",IF(B853="","Needs ID",IF(OR(C853="loan",C853="send_out"),IF(COUNTIF($L$2:$L$1001,B853)&gt;0,"Closed",IF(K853="","Open",IF(K853&lt;NOW(),"Overdue","Open"))),IF(C853="return",IF(OR(L853="",COUNTIF($B$2:$B$1001,L853)=0),"No match",IF(OR(M853="worn",M853="damaged"),"Quarantine","Returned")),IF(C853="issue","Issued",IF(C853="transfer","Moved",IF(C853="write_off","Written off",IF(C853="unfilled","Unfilled",""))))))))</f>
      </c>
      <c r="B853" s="31"/>
      <c r="C853" s="35"/>
      <c r="D853" s="33"/>
      <c r="E853" s="31"/>
      <c r="F853" s="31"/>
      <c r="G853" s="37">
        <f>IF(F853="","",IF(ISNA(MATCH(F853,'Item master'!$A$2:$A$301,0)),"Not in Item master",IFERROR(INDEX('Item master'!$B$2:$B$301,MATCH(F853,'Item master'!$A$2:$A$301,0))&amp;"","")))</f>
      </c>
      <c r="H853" s="34"/>
      <c r="I853" s="31"/>
      <c r="J853" s="31"/>
      <c r="K853" s="33"/>
      <c r="L853" s="31"/>
      <c r="M853" s="35"/>
      <c r="N853" s="30"/>
      <c r="O853" s="30"/>
      <c r="P853" s="36"/>
      <c r="Q853" s="38">
        <f>IF(OR(C853&lt;&gt;"loan",E853=""),"",IF(ISNA(MATCH(E853,Units!$A$2:$A$501,0)),"",IF(INDEX(Units!$E$2:$E$501,MATCH(E853,Units!$A$2:$A$501,0))="","",IF(K853="","No due date",IF(INT(K853)&gt;INDEX(Units!$E$2:$E$501,MATCH(E853,Units!$A$2:$A$501,0)),"Past cal date","OK")))))</f>
      </c>
      <c r="R853" s="37">
        <f>IF(A853="Overdue",K853+ROW()/10000000,"")</f>
      </c>
    </row>
    <row r="854">
      <c r="A854" s="38">
        <f>IF(C854="","",IF(B854="","Needs ID",IF(OR(C854="loan",C854="send_out"),IF(COUNTIF($L$2:$L$1001,B854)&gt;0,"Closed",IF(K854="","Open",IF(K854&lt;NOW(),"Overdue","Open"))),IF(C854="return",IF(OR(L854="",COUNTIF($B$2:$B$1001,L854)=0),"No match",IF(OR(M854="worn",M854="damaged"),"Quarantine","Returned")),IF(C854="issue","Issued",IF(C854="transfer","Moved",IF(C854="write_off","Written off",IF(C854="unfilled","Unfilled",""))))))))</f>
      </c>
      <c r="B854" s="31"/>
      <c r="C854" s="35"/>
      <c r="D854" s="33"/>
      <c r="E854" s="31"/>
      <c r="F854" s="31"/>
      <c r="G854" s="37">
        <f>IF(F854="","",IF(ISNA(MATCH(F854,'Item master'!$A$2:$A$301,0)),"Not in Item master",IFERROR(INDEX('Item master'!$B$2:$B$301,MATCH(F854,'Item master'!$A$2:$A$301,0))&amp;"","")))</f>
      </c>
      <c r="H854" s="34"/>
      <c r="I854" s="31"/>
      <c r="J854" s="31"/>
      <c r="K854" s="33"/>
      <c r="L854" s="31"/>
      <c r="M854" s="35"/>
      <c r="N854" s="30"/>
      <c r="O854" s="30"/>
      <c r="P854" s="36"/>
      <c r="Q854" s="38">
        <f>IF(OR(C854&lt;&gt;"loan",E854=""),"",IF(ISNA(MATCH(E854,Units!$A$2:$A$501,0)),"",IF(INDEX(Units!$E$2:$E$501,MATCH(E854,Units!$A$2:$A$501,0))="","",IF(K854="","No due date",IF(INT(K854)&gt;INDEX(Units!$E$2:$E$501,MATCH(E854,Units!$A$2:$A$501,0)),"Past cal date","OK")))))</f>
      </c>
      <c r="R854" s="37">
        <f>IF(A854="Overdue",K854+ROW()/10000000,"")</f>
      </c>
    </row>
    <row r="855">
      <c r="A855" s="38">
        <f>IF(C855="","",IF(B855="","Needs ID",IF(OR(C855="loan",C855="send_out"),IF(COUNTIF($L$2:$L$1001,B855)&gt;0,"Closed",IF(K855="","Open",IF(K855&lt;NOW(),"Overdue","Open"))),IF(C855="return",IF(OR(L855="",COUNTIF($B$2:$B$1001,L855)=0),"No match",IF(OR(M855="worn",M855="damaged"),"Quarantine","Returned")),IF(C855="issue","Issued",IF(C855="transfer","Moved",IF(C855="write_off","Written off",IF(C855="unfilled","Unfilled",""))))))))</f>
      </c>
      <c r="B855" s="31"/>
      <c r="C855" s="35"/>
      <c r="D855" s="33"/>
      <c r="E855" s="31"/>
      <c r="F855" s="31"/>
      <c r="G855" s="37">
        <f>IF(F855="","",IF(ISNA(MATCH(F855,'Item master'!$A$2:$A$301,0)),"Not in Item master",IFERROR(INDEX('Item master'!$B$2:$B$301,MATCH(F855,'Item master'!$A$2:$A$301,0))&amp;"","")))</f>
      </c>
      <c r="H855" s="34"/>
      <c r="I855" s="31"/>
      <c r="J855" s="31"/>
      <c r="K855" s="33"/>
      <c r="L855" s="31"/>
      <c r="M855" s="35"/>
      <c r="N855" s="30"/>
      <c r="O855" s="30"/>
      <c r="P855" s="36"/>
      <c r="Q855" s="38">
        <f>IF(OR(C855&lt;&gt;"loan",E855=""),"",IF(ISNA(MATCH(E855,Units!$A$2:$A$501,0)),"",IF(INDEX(Units!$E$2:$E$501,MATCH(E855,Units!$A$2:$A$501,0))="","",IF(K855="","No due date",IF(INT(K855)&gt;INDEX(Units!$E$2:$E$501,MATCH(E855,Units!$A$2:$A$501,0)),"Past cal date","OK")))))</f>
      </c>
      <c r="R855" s="37">
        <f>IF(A855="Overdue",K855+ROW()/10000000,"")</f>
      </c>
    </row>
    <row r="856">
      <c r="A856" s="38">
        <f>IF(C856="","",IF(B856="","Needs ID",IF(OR(C856="loan",C856="send_out"),IF(COUNTIF($L$2:$L$1001,B856)&gt;0,"Closed",IF(K856="","Open",IF(K856&lt;NOW(),"Overdue","Open"))),IF(C856="return",IF(OR(L856="",COUNTIF($B$2:$B$1001,L856)=0),"No match",IF(OR(M856="worn",M856="damaged"),"Quarantine","Returned")),IF(C856="issue","Issued",IF(C856="transfer","Moved",IF(C856="write_off","Written off",IF(C856="unfilled","Unfilled",""))))))))</f>
      </c>
      <c r="B856" s="31"/>
      <c r="C856" s="35"/>
      <c r="D856" s="33"/>
      <c r="E856" s="31"/>
      <c r="F856" s="31"/>
      <c r="G856" s="37">
        <f>IF(F856="","",IF(ISNA(MATCH(F856,'Item master'!$A$2:$A$301,0)),"Not in Item master",IFERROR(INDEX('Item master'!$B$2:$B$301,MATCH(F856,'Item master'!$A$2:$A$301,0))&amp;"","")))</f>
      </c>
      <c r="H856" s="34"/>
      <c r="I856" s="31"/>
      <c r="J856" s="31"/>
      <c r="K856" s="33"/>
      <c r="L856" s="31"/>
      <c r="M856" s="35"/>
      <c r="N856" s="30"/>
      <c r="O856" s="30"/>
      <c r="P856" s="36"/>
      <c r="Q856" s="38">
        <f>IF(OR(C856&lt;&gt;"loan",E856=""),"",IF(ISNA(MATCH(E856,Units!$A$2:$A$501,0)),"",IF(INDEX(Units!$E$2:$E$501,MATCH(E856,Units!$A$2:$A$501,0))="","",IF(K856="","No due date",IF(INT(K856)&gt;INDEX(Units!$E$2:$E$501,MATCH(E856,Units!$A$2:$A$501,0)),"Past cal date","OK")))))</f>
      </c>
      <c r="R856" s="37">
        <f>IF(A856="Overdue",K856+ROW()/10000000,"")</f>
      </c>
    </row>
    <row r="857">
      <c r="A857" s="38">
        <f>IF(C857="","",IF(B857="","Needs ID",IF(OR(C857="loan",C857="send_out"),IF(COUNTIF($L$2:$L$1001,B857)&gt;0,"Closed",IF(K857="","Open",IF(K857&lt;NOW(),"Overdue","Open"))),IF(C857="return",IF(OR(L857="",COUNTIF($B$2:$B$1001,L857)=0),"No match",IF(OR(M857="worn",M857="damaged"),"Quarantine","Returned")),IF(C857="issue","Issued",IF(C857="transfer","Moved",IF(C857="write_off","Written off",IF(C857="unfilled","Unfilled",""))))))))</f>
      </c>
      <c r="B857" s="31"/>
      <c r="C857" s="35"/>
      <c r="D857" s="33"/>
      <c r="E857" s="31"/>
      <c r="F857" s="31"/>
      <c r="G857" s="37">
        <f>IF(F857="","",IF(ISNA(MATCH(F857,'Item master'!$A$2:$A$301,0)),"Not in Item master",IFERROR(INDEX('Item master'!$B$2:$B$301,MATCH(F857,'Item master'!$A$2:$A$301,0))&amp;"","")))</f>
      </c>
      <c r="H857" s="34"/>
      <c r="I857" s="31"/>
      <c r="J857" s="31"/>
      <c r="K857" s="33"/>
      <c r="L857" s="31"/>
      <c r="M857" s="35"/>
      <c r="N857" s="30"/>
      <c r="O857" s="30"/>
      <c r="P857" s="36"/>
      <c r="Q857" s="38">
        <f>IF(OR(C857&lt;&gt;"loan",E857=""),"",IF(ISNA(MATCH(E857,Units!$A$2:$A$501,0)),"",IF(INDEX(Units!$E$2:$E$501,MATCH(E857,Units!$A$2:$A$501,0))="","",IF(K857="","No due date",IF(INT(K857)&gt;INDEX(Units!$E$2:$E$501,MATCH(E857,Units!$A$2:$A$501,0)),"Past cal date","OK")))))</f>
      </c>
      <c r="R857" s="37">
        <f>IF(A857="Overdue",K857+ROW()/10000000,"")</f>
      </c>
    </row>
    <row r="858">
      <c r="A858" s="38">
        <f>IF(C858="","",IF(B858="","Needs ID",IF(OR(C858="loan",C858="send_out"),IF(COUNTIF($L$2:$L$1001,B858)&gt;0,"Closed",IF(K858="","Open",IF(K858&lt;NOW(),"Overdue","Open"))),IF(C858="return",IF(OR(L858="",COUNTIF($B$2:$B$1001,L858)=0),"No match",IF(OR(M858="worn",M858="damaged"),"Quarantine","Returned")),IF(C858="issue","Issued",IF(C858="transfer","Moved",IF(C858="write_off","Written off",IF(C858="unfilled","Unfilled",""))))))))</f>
      </c>
      <c r="B858" s="31"/>
      <c r="C858" s="35"/>
      <c r="D858" s="33"/>
      <c r="E858" s="31"/>
      <c r="F858" s="31"/>
      <c r="G858" s="37">
        <f>IF(F858="","",IF(ISNA(MATCH(F858,'Item master'!$A$2:$A$301,0)),"Not in Item master",IFERROR(INDEX('Item master'!$B$2:$B$301,MATCH(F858,'Item master'!$A$2:$A$301,0))&amp;"","")))</f>
      </c>
      <c r="H858" s="34"/>
      <c r="I858" s="31"/>
      <c r="J858" s="31"/>
      <c r="K858" s="33"/>
      <c r="L858" s="31"/>
      <c r="M858" s="35"/>
      <c r="N858" s="30"/>
      <c r="O858" s="30"/>
      <c r="P858" s="36"/>
      <c r="Q858" s="38">
        <f>IF(OR(C858&lt;&gt;"loan",E858=""),"",IF(ISNA(MATCH(E858,Units!$A$2:$A$501,0)),"",IF(INDEX(Units!$E$2:$E$501,MATCH(E858,Units!$A$2:$A$501,0))="","",IF(K858="","No due date",IF(INT(K858)&gt;INDEX(Units!$E$2:$E$501,MATCH(E858,Units!$A$2:$A$501,0)),"Past cal date","OK")))))</f>
      </c>
      <c r="R858" s="37">
        <f>IF(A858="Overdue",K858+ROW()/10000000,"")</f>
      </c>
    </row>
    <row r="859">
      <c r="A859" s="38">
        <f>IF(C859="","",IF(B859="","Needs ID",IF(OR(C859="loan",C859="send_out"),IF(COUNTIF($L$2:$L$1001,B859)&gt;0,"Closed",IF(K859="","Open",IF(K859&lt;NOW(),"Overdue","Open"))),IF(C859="return",IF(OR(L859="",COUNTIF($B$2:$B$1001,L859)=0),"No match",IF(OR(M859="worn",M859="damaged"),"Quarantine","Returned")),IF(C859="issue","Issued",IF(C859="transfer","Moved",IF(C859="write_off","Written off",IF(C859="unfilled","Unfilled",""))))))))</f>
      </c>
      <c r="B859" s="31"/>
      <c r="C859" s="35"/>
      <c r="D859" s="33"/>
      <c r="E859" s="31"/>
      <c r="F859" s="31"/>
      <c r="G859" s="37">
        <f>IF(F859="","",IF(ISNA(MATCH(F859,'Item master'!$A$2:$A$301,0)),"Not in Item master",IFERROR(INDEX('Item master'!$B$2:$B$301,MATCH(F859,'Item master'!$A$2:$A$301,0))&amp;"","")))</f>
      </c>
      <c r="H859" s="34"/>
      <c r="I859" s="31"/>
      <c r="J859" s="31"/>
      <c r="K859" s="33"/>
      <c r="L859" s="31"/>
      <c r="M859" s="35"/>
      <c r="N859" s="30"/>
      <c r="O859" s="30"/>
      <c r="P859" s="36"/>
      <c r="Q859" s="38">
        <f>IF(OR(C859&lt;&gt;"loan",E859=""),"",IF(ISNA(MATCH(E859,Units!$A$2:$A$501,0)),"",IF(INDEX(Units!$E$2:$E$501,MATCH(E859,Units!$A$2:$A$501,0))="","",IF(K859="","No due date",IF(INT(K859)&gt;INDEX(Units!$E$2:$E$501,MATCH(E859,Units!$A$2:$A$501,0)),"Past cal date","OK")))))</f>
      </c>
      <c r="R859" s="37">
        <f>IF(A859="Overdue",K859+ROW()/10000000,"")</f>
      </c>
    </row>
    <row r="860">
      <c r="A860" s="38">
        <f>IF(C860="","",IF(B860="","Needs ID",IF(OR(C860="loan",C860="send_out"),IF(COUNTIF($L$2:$L$1001,B860)&gt;0,"Closed",IF(K860="","Open",IF(K860&lt;NOW(),"Overdue","Open"))),IF(C860="return",IF(OR(L860="",COUNTIF($B$2:$B$1001,L860)=0),"No match",IF(OR(M860="worn",M860="damaged"),"Quarantine","Returned")),IF(C860="issue","Issued",IF(C860="transfer","Moved",IF(C860="write_off","Written off",IF(C860="unfilled","Unfilled",""))))))))</f>
      </c>
      <c r="B860" s="31"/>
      <c r="C860" s="35"/>
      <c r="D860" s="33"/>
      <c r="E860" s="31"/>
      <c r="F860" s="31"/>
      <c r="G860" s="37">
        <f>IF(F860="","",IF(ISNA(MATCH(F860,'Item master'!$A$2:$A$301,0)),"Not in Item master",IFERROR(INDEX('Item master'!$B$2:$B$301,MATCH(F860,'Item master'!$A$2:$A$301,0))&amp;"","")))</f>
      </c>
      <c r="H860" s="34"/>
      <c r="I860" s="31"/>
      <c r="J860" s="31"/>
      <c r="K860" s="33"/>
      <c r="L860" s="31"/>
      <c r="M860" s="35"/>
      <c r="N860" s="30"/>
      <c r="O860" s="30"/>
      <c r="P860" s="36"/>
      <c r="Q860" s="38">
        <f>IF(OR(C860&lt;&gt;"loan",E860=""),"",IF(ISNA(MATCH(E860,Units!$A$2:$A$501,0)),"",IF(INDEX(Units!$E$2:$E$501,MATCH(E860,Units!$A$2:$A$501,0))="","",IF(K860="","No due date",IF(INT(K860)&gt;INDEX(Units!$E$2:$E$501,MATCH(E860,Units!$A$2:$A$501,0)),"Past cal date","OK")))))</f>
      </c>
      <c r="R860" s="37">
        <f>IF(A860="Overdue",K860+ROW()/10000000,"")</f>
      </c>
    </row>
    <row r="861">
      <c r="A861" s="38">
        <f>IF(C861="","",IF(B861="","Needs ID",IF(OR(C861="loan",C861="send_out"),IF(COUNTIF($L$2:$L$1001,B861)&gt;0,"Closed",IF(K861="","Open",IF(K861&lt;NOW(),"Overdue","Open"))),IF(C861="return",IF(OR(L861="",COUNTIF($B$2:$B$1001,L861)=0),"No match",IF(OR(M861="worn",M861="damaged"),"Quarantine","Returned")),IF(C861="issue","Issued",IF(C861="transfer","Moved",IF(C861="write_off","Written off",IF(C861="unfilled","Unfilled",""))))))))</f>
      </c>
      <c r="B861" s="31"/>
      <c r="C861" s="35"/>
      <c r="D861" s="33"/>
      <c r="E861" s="31"/>
      <c r="F861" s="31"/>
      <c r="G861" s="37">
        <f>IF(F861="","",IF(ISNA(MATCH(F861,'Item master'!$A$2:$A$301,0)),"Not in Item master",IFERROR(INDEX('Item master'!$B$2:$B$301,MATCH(F861,'Item master'!$A$2:$A$301,0))&amp;"","")))</f>
      </c>
      <c r="H861" s="34"/>
      <c r="I861" s="31"/>
      <c r="J861" s="31"/>
      <c r="K861" s="33"/>
      <c r="L861" s="31"/>
      <c r="M861" s="35"/>
      <c r="N861" s="30"/>
      <c r="O861" s="30"/>
      <c r="P861" s="36"/>
      <c r="Q861" s="38">
        <f>IF(OR(C861&lt;&gt;"loan",E861=""),"",IF(ISNA(MATCH(E861,Units!$A$2:$A$501,0)),"",IF(INDEX(Units!$E$2:$E$501,MATCH(E861,Units!$A$2:$A$501,0))="","",IF(K861="","No due date",IF(INT(K861)&gt;INDEX(Units!$E$2:$E$501,MATCH(E861,Units!$A$2:$A$501,0)),"Past cal date","OK")))))</f>
      </c>
      <c r="R861" s="37">
        <f>IF(A861="Overdue",K861+ROW()/10000000,"")</f>
      </c>
    </row>
    <row r="862">
      <c r="A862" s="38">
        <f>IF(C862="","",IF(B862="","Needs ID",IF(OR(C862="loan",C862="send_out"),IF(COUNTIF($L$2:$L$1001,B862)&gt;0,"Closed",IF(K862="","Open",IF(K862&lt;NOW(),"Overdue","Open"))),IF(C862="return",IF(OR(L862="",COUNTIF($B$2:$B$1001,L862)=0),"No match",IF(OR(M862="worn",M862="damaged"),"Quarantine","Returned")),IF(C862="issue","Issued",IF(C862="transfer","Moved",IF(C862="write_off","Written off",IF(C862="unfilled","Unfilled",""))))))))</f>
      </c>
      <c r="B862" s="31"/>
      <c r="C862" s="35"/>
      <c r="D862" s="33"/>
      <c r="E862" s="31"/>
      <c r="F862" s="31"/>
      <c r="G862" s="37">
        <f>IF(F862="","",IF(ISNA(MATCH(F862,'Item master'!$A$2:$A$301,0)),"Not in Item master",IFERROR(INDEX('Item master'!$B$2:$B$301,MATCH(F862,'Item master'!$A$2:$A$301,0))&amp;"","")))</f>
      </c>
      <c r="H862" s="34"/>
      <c r="I862" s="31"/>
      <c r="J862" s="31"/>
      <c r="K862" s="33"/>
      <c r="L862" s="31"/>
      <c r="M862" s="35"/>
      <c r="N862" s="30"/>
      <c r="O862" s="30"/>
      <c r="P862" s="36"/>
      <c r="Q862" s="38">
        <f>IF(OR(C862&lt;&gt;"loan",E862=""),"",IF(ISNA(MATCH(E862,Units!$A$2:$A$501,0)),"",IF(INDEX(Units!$E$2:$E$501,MATCH(E862,Units!$A$2:$A$501,0))="","",IF(K862="","No due date",IF(INT(K862)&gt;INDEX(Units!$E$2:$E$501,MATCH(E862,Units!$A$2:$A$501,0)),"Past cal date","OK")))))</f>
      </c>
      <c r="R862" s="37">
        <f>IF(A862="Overdue",K862+ROW()/10000000,"")</f>
      </c>
    </row>
    <row r="863">
      <c r="A863" s="38">
        <f>IF(C863="","",IF(B863="","Needs ID",IF(OR(C863="loan",C863="send_out"),IF(COUNTIF($L$2:$L$1001,B863)&gt;0,"Closed",IF(K863="","Open",IF(K863&lt;NOW(),"Overdue","Open"))),IF(C863="return",IF(OR(L863="",COUNTIF($B$2:$B$1001,L863)=0),"No match",IF(OR(M863="worn",M863="damaged"),"Quarantine","Returned")),IF(C863="issue","Issued",IF(C863="transfer","Moved",IF(C863="write_off","Written off",IF(C863="unfilled","Unfilled",""))))))))</f>
      </c>
      <c r="B863" s="31"/>
      <c r="C863" s="35"/>
      <c r="D863" s="33"/>
      <c r="E863" s="31"/>
      <c r="F863" s="31"/>
      <c r="G863" s="37">
        <f>IF(F863="","",IF(ISNA(MATCH(F863,'Item master'!$A$2:$A$301,0)),"Not in Item master",IFERROR(INDEX('Item master'!$B$2:$B$301,MATCH(F863,'Item master'!$A$2:$A$301,0))&amp;"","")))</f>
      </c>
      <c r="H863" s="34"/>
      <c r="I863" s="31"/>
      <c r="J863" s="31"/>
      <c r="K863" s="33"/>
      <c r="L863" s="31"/>
      <c r="M863" s="35"/>
      <c r="N863" s="30"/>
      <c r="O863" s="30"/>
      <c r="P863" s="36"/>
      <c r="Q863" s="38">
        <f>IF(OR(C863&lt;&gt;"loan",E863=""),"",IF(ISNA(MATCH(E863,Units!$A$2:$A$501,0)),"",IF(INDEX(Units!$E$2:$E$501,MATCH(E863,Units!$A$2:$A$501,0))="","",IF(K863="","No due date",IF(INT(K863)&gt;INDEX(Units!$E$2:$E$501,MATCH(E863,Units!$A$2:$A$501,0)),"Past cal date","OK")))))</f>
      </c>
      <c r="R863" s="37">
        <f>IF(A863="Overdue",K863+ROW()/10000000,"")</f>
      </c>
    </row>
    <row r="864">
      <c r="A864" s="38">
        <f>IF(C864="","",IF(B864="","Needs ID",IF(OR(C864="loan",C864="send_out"),IF(COUNTIF($L$2:$L$1001,B864)&gt;0,"Closed",IF(K864="","Open",IF(K864&lt;NOW(),"Overdue","Open"))),IF(C864="return",IF(OR(L864="",COUNTIF($B$2:$B$1001,L864)=0),"No match",IF(OR(M864="worn",M864="damaged"),"Quarantine","Returned")),IF(C864="issue","Issued",IF(C864="transfer","Moved",IF(C864="write_off","Written off",IF(C864="unfilled","Unfilled",""))))))))</f>
      </c>
      <c r="B864" s="31"/>
      <c r="C864" s="35"/>
      <c r="D864" s="33"/>
      <c r="E864" s="31"/>
      <c r="F864" s="31"/>
      <c r="G864" s="37">
        <f>IF(F864="","",IF(ISNA(MATCH(F864,'Item master'!$A$2:$A$301,0)),"Not in Item master",IFERROR(INDEX('Item master'!$B$2:$B$301,MATCH(F864,'Item master'!$A$2:$A$301,0))&amp;"","")))</f>
      </c>
      <c r="H864" s="34"/>
      <c r="I864" s="31"/>
      <c r="J864" s="31"/>
      <c r="K864" s="33"/>
      <c r="L864" s="31"/>
      <c r="M864" s="35"/>
      <c r="N864" s="30"/>
      <c r="O864" s="30"/>
      <c r="P864" s="36"/>
      <c r="Q864" s="38">
        <f>IF(OR(C864&lt;&gt;"loan",E864=""),"",IF(ISNA(MATCH(E864,Units!$A$2:$A$501,0)),"",IF(INDEX(Units!$E$2:$E$501,MATCH(E864,Units!$A$2:$A$501,0))="","",IF(K864="","No due date",IF(INT(K864)&gt;INDEX(Units!$E$2:$E$501,MATCH(E864,Units!$A$2:$A$501,0)),"Past cal date","OK")))))</f>
      </c>
      <c r="R864" s="37">
        <f>IF(A864="Overdue",K864+ROW()/10000000,"")</f>
      </c>
    </row>
    <row r="865">
      <c r="A865" s="38">
        <f>IF(C865="","",IF(B865="","Needs ID",IF(OR(C865="loan",C865="send_out"),IF(COUNTIF($L$2:$L$1001,B865)&gt;0,"Closed",IF(K865="","Open",IF(K865&lt;NOW(),"Overdue","Open"))),IF(C865="return",IF(OR(L865="",COUNTIF($B$2:$B$1001,L865)=0),"No match",IF(OR(M865="worn",M865="damaged"),"Quarantine","Returned")),IF(C865="issue","Issued",IF(C865="transfer","Moved",IF(C865="write_off","Written off",IF(C865="unfilled","Unfilled",""))))))))</f>
      </c>
      <c r="B865" s="31"/>
      <c r="C865" s="35"/>
      <c r="D865" s="33"/>
      <c r="E865" s="31"/>
      <c r="F865" s="31"/>
      <c r="G865" s="37">
        <f>IF(F865="","",IF(ISNA(MATCH(F865,'Item master'!$A$2:$A$301,0)),"Not in Item master",IFERROR(INDEX('Item master'!$B$2:$B$301,MATCH(F865,'Item master'!$A$2:$A$301,0))&amp;"","")))</f>
      </c>
      <c r="H865" s="34"/>
      <c r="I865" s="31"/>
      <c r="J865" s="31"/>
      <c r="K865" s="33"/>
      <c r="L865" s="31"/>
      <c r="M865" s="35"/>
      <c r="N865" s="30"/>
      <c r="O865" s="30"/>
      <c r="P865" s="36"/>
      <c r="Q865" s="38">
        <f>IF(OR(C865&lt;&gt;"loan",E865=""),"",IF(ISNA(MATCH(E865,Units!$A$2:$A$501,0)),"",IF(INDEX(Units!$E$2:$E$501,MATCH(E865,Units!$A$2:$A$501,0))="","",IF(K865="","No due date",IF(INT(K865)&gt;INDEX(Units!$E$2:$E$501,MATCH(E865,Units!$A$2:$A$501,0)),"Past cal date","OK")))))</f>
      </c>
      <c r="R865" s="37">
        <f>IF(A865="Overdue",K865+ROW()/10000000,"")</f>
      </c>
    </row>
    <row r="866">
      <c r="A866" s="38">
        <f>IF(C866="","",IF(B866="","Needs ID",IF(OR(C866="loan",C866="send_out"),IF(COUNTIF($L$2:$L$1001,B866)&gt;0,"Closed",IF(K866="","Open",IF(K866&lt;NOW(),"Overdue","Open"))),IF(C866="return",IF(OR(L866="",COUNTIF($B$2:$B$1001,L866)=0),"No match",IF(OR(M866="worn",M866="damaged"),"Quarantine","Returned")),IF(C866="issue","Issued",IF(C866="transfer","Moved",IF(C866="write_off","Written off",IF(C866="unfilled","Unfilled",""))))))))</f>
      </c>
      <c r="B866" s="31"/>
      <c r="C866" s="35"/>
      <c r="D866" s="33"/>
      <c r="E866" s="31"/>
      <c r="F866" s="31"/>
      <c r="G866" s="37">
        <f>IF(F866="","",IF(ISNA(MATCH(F866,'Item master'!$A$2:$A$301,0)),"Not in Item master",IFERROR(INDEX('Item master'!$B$2:$B$301,MATCH(F866,'Item master'!$A$2:$A$301,0))&amp;"","")))</f>
      </c>
      <c r="H866" s="34"/>
      <c r="I866" s="31"/>
      <c r="J866" s="31"/>
      <c r="K866" s="33"/>
      <c r="L866" s="31"/>
      <c r="M866" s="35"/>
      <c r="N866" s="30"/>
      <c r="O866" s="30"/>
      <c r="P866" s="36"/>
      <c r="Q866" s="38">
        <f>IF(OR(C866&lt;&gt;"loan",E866=""),"",IF(ISNA(MATCH(E866,Units!$A$2:$A$501,0)),"",IF(INDEX(Units!$E$2:$E$501,MATCH(E866,Units!$A$2:$A$501,0))="","",IF(K866="","No due date",IF(INT(K866)&gt;INDEX(Units!$E$2:$E$501,MATCH(E866,Units!$A$2:$A$501,0)),"Past cal date","OK")))))</f>
      </c>
      <c r="R866" s="37">
        <f>IF(A866="Overdue",K866+ROW()/10000000,"")</f>
      </c>
    </row>
    <row r="867">
      <c r="A867" s="38">
        <f>IF(C867="","",IF(B867="","Needs ID",IF(OR(C867="loan",C867="send_out"),IF(COUNTIF($L$2:$L$1001,B867)&gt;0,"Closed",IF(K867="","Open",IF(K867&lt;NOW(),"Overdue","Open"))),IF(C867="return",IF(OR(L867="",COUNTIF($B$2:$B$1001,L867)=0),"No match",IF(OR(M867="worn",M867="damaged"),"Quarantine","Returned")),IF(C867="issue","Issued",IF(C867="transfer","Moved",IF(C867="write_off","Written off",IF(C867="unfilled","Unfilled",""))))))))</f>
      </c>
      <c r="B867" s="31"/>
      <c r="C867" s="35"/>
      <c r="D867" s="33"/>
      <c r="E867" s="31"/>
      <c r="F867" s="31"/>
      <c r="G867" s="37">
        <f>IF(F867="","",IF(ISNA(MATCH(F867,'Item master'!$A$2:$A$301,0)),"Not in Item master",IFERROR(INDEX('Item master'!$B$2:$B$301,MATCH(F867,'Item master'!$A$2:$A$301,0))&amp;"","")))</f>
      </c>
      <c r="H867" s="34"/>
      <c r="I867" s="31"/>
      <c r="J867" s="31"/>
      <c r="K867" s="33"/>
      <c r="L867" s="31"/>
      <c r="M867" s="35"/>
      <c r="N867" s="30"/>
      <c r="O867" s="30"/>
      <c r="P867" s="36"/>
      <c r="Q867" s="38">
        <f>IF(OR(C867&lt;&gt;"loan",E867=""),"",IF(ISNA(MATCH(E867,Units!$A$2:$A$501,0)),"",IF(INDEX(Units!$E$2:$E$501,MATCH(E867,Units!$A$2:$A$501,0))="","",IF(K867="","No due date",IF(INT(K867)&gt;INDEX(Units!$E$2:$E$501,MATCH(E867,Units!$A$2:$A$501,0)),"Past cal date","OK")))))</f>
      </c>
      <c r="R867" s="37">
        <f>IF(A867="Overdue",K867+ROW()/10000000,"")</f>
      </c>
    </row>
    <row r="868">
      <c r="A868" s="38">
        <f>IF(C868="","",IF(B868="","Needs ID",IF(OR(C868="loan",C868="send_out"),IF(COUNTIF($L$2:$L$1001,B868)&gt;0,"Closed",IF(K868="","Open",IF(K868&lt;NOW(),"Overdue","Open"))),IF(C868="return",IF(OR(L868="",COUNTIF($B$2:$B$1001,L868)=0),"No match",IF(OR(M868="worn",M868="damaged"),"Quarantine","Returned")),IF(C868="issue","Issued",IF(C868="transfer","Moved",IF(C868="write_off","Written off",IF(C868="unfilled","Unfilled",""))))))))</f>
      </c>
      <c r="B868" s="31"/>
      <c r="C868" s="35"/>
      <c r="D868" s="33"/>
      <c r="E868" s="31"/>
      <c r="F868" s="31"/>
      <c r="G868" s="37">
        <f>IF(F868="","",IF(ISNA(MATCH(F868,'Item master'!$A$2:$A$301,0)),"Not in Item master",IFERROR(INDEX('Item master'!$B$2:$B$301,MATCH(F868,'Item master'!$A$2:$A$301,0))&amp;"","")))</f>
      </c>
      <c r="H868" s="34"/>
      <c r="I868" s="31"/>
      <c r="J868" s="31"/>
      <c r="K868" s="33"/>
      <c r="L868" s="31"/>
      <c r="M868" s="35"/>
      <c r="N868" s="30"/>
      <c r="O868" s="30"/>
      <c r="P868" s="36"/>
      <c r="Q868" s="38">
        <f>IF(OR(C868&lt;&gt;"loan",E868=""),"",IF(ISNA(MATCH(E868,Units!$A$2:$A$501,0)),"",IF(INDEX(Units!$E$2:$E$501,MATCH(E868,Units!$A$2:$A$501,0))="","",IF(K868="","No due date",IF(INT(K868)&gt;INDEX(Units!$E$2:$E$501,MATCH(E868,Units!$A$2:$A$501,0)),"Past cal date","OK")))))</f>
      </c>
      <c r="R868" s="37">
        <f>IF(A868="Overdue",K868+ROW()/10000000,"")</f>
      </c>
    </row>
    <row r="869">
      <c r="A869" s="38">
        <f>IF(C869="","",IF(B869="","Needs ID",IF(OR(C869="loan",C869="send_out"),IF(COUNTIF($L$2:$L$1001,B869)&gt;0,"Closed",IF(K869="","Open",IF(K869&lt;NOW(),"Overdue","Open"))),IF(C869="return",IF(OR(L869="",COUNTIF($B$2:$B$1001,L869)=0),"No match",IF(OR(M869="worn",M869="damaged"),"Quarantine","Returned")),IF(C869="issue","Issued",IF(C869="transfer","Moved",IF(C869="write_off","Written off",IF(C869="unfilled","Unfilled",""))))))))</f>
      </c>
      <c r="B869" s="31"/>
      <c r="C869" s="35"/>
      <c r="D869" s="33"/>
      <c r="E869" s="31"/>
      <c r="F869" s="31"/>
      <c r="G869" s="37">
        <f>IF(F869="","",IF(ISNA(MATCH(F869,'Item master'!$A$2:$A$301,0)),"Not in Item master",IFERROR(INDEX('Item master'!$B$2:$B$301,MATCH(F869,'Item master'!$A$2:$A$301,0))&amp;"","")))</f>
      </c>
      <c r="H869" s="34"/>
      <c r="I869" s="31"/>
      <c r="J869" s="31"/>
      <c r="K869" s="33"/>
      <c r="L869" s="31"/>
      <c r="M869" s="35"/>
      <c r="N869" s="30"/>
      <c r="O869" s="30"/>
      <c r="P869" s="36"/>
      <c r="Q869" s="38">
        <f>IF(OR(C869&lt;&gt;"loan",E869=""),"",IF(ISNA(MATCH(E869,Units!$A$2:$A$501,0)),"",IF(INDEX(Units!$E$2:$E$501,MATCH(E869,Units!$A$2:$A$501,0))="","",IF(K869="","No due date",IF(INT(K869)&gt;INDEX(Units!$E$2:$E$501,MATCH(E869,Units!$A$2:$A$501,0)),"Past cal date","OK")))))</f>
      </c>
      <c r="R869" s="37">
        <f>IF(A869="Overdue",K869+ROW()/10000000,"")</f>
      </c>
    </row>
    <row r="870">
      <c r="A870" s="38">
        <f>IF(C870="","",IF(B870="","Needs ID",IF(OR(C870="loan",C870="send_out"),IF(COUNTIF($L$2:$L$1001,B870)&gt;0,"Closed",IF(K870="","Open",IF(K870&lt;NOW(),"Overdue","Open"))),IF(C870="return",IF(OR(L870="",COUNTIF($B$2:$B$1001,L870)=0),"No match",IF(OR(M870="worn",M870="damaged"),"Quarantine","Returned")),IF(C870="issue","Issued",IF(C870="transfer","Moved",IF(C870="write_off","Written off",IF(C870="unfilled","Unfilled",""))))))))</f>
      </c>
      <c r="B870" s="31"/>
      <c r="C870" s="35"/>
      <c r="D870" s="33"/>
      <c r="E870" s="31"/>
      <c r="F870" s="31"/>
      <c r="G870" s="37">
        <f>IF(F870="","",IF(ISNA(MATCH(F870,'Item master'!$A$2:$A$301,0)),"Not in Item master",IFERROR(INDEX('Item master'!$B$2:$B$301,MATCH(F870,'Item master'!$A$2:$A$301,0))&amp;"","")))</f>
      </c>
      <c r="H870" s="34"/>
      <c r="I870" s="31"/>
      <c r="J870" s="31"/>
      <c r="K870" s="33"/>
      <c r="L870" s="31"/>
      <c r="M870" s="35"/>
      <c r="N870" s="30"/>
      <c r="O870" s="30"/>
      <c r="P870" s="36"/>
      <c r="Q870" s="38">
        <f>IF(OR(C870&lt;&gt;"loan",E870=""),"",IF(ISNA(MATCH(E870,Units!$A$2:$A$501,0)),"",IF(INDEX(Units!$E$2:$E$501,MATCH(E870,Units!$A$2:$A$501,0))="","",IF(K870="","No due date",IF(INT(K870)&gt;INDEX(Units!$E$2:$E$501,MATCH(E870,Units!$A$2:$A$501,0)),"Past cal date","OK")))))</f>
      </c>
      <c r="R870" s="37">
        <f>IF(A870="Overdue",K870+ROW()/10000000,"")</f>
      </c>
    </row>
    <row r="871">
      <c r="A871" s="38">
        <f>IF(C871="","",IF(B871="","Needs ID",IF(OR(C871="loan",C871="send_out"),IF(COUNTIF($L$2:$L$1001,B871)&gt;0,"Closed",IF(K871="","Open",IF(K871&lt;NOW(),"Overdue","Open"))),IF(C871="return",IF(OR(L871="",COUNTIF($B$2:$B$1001,L871)=0),"No match",IF(OR(M871="worn",M871="damaged"),"Quarantine","Returned")),IF(C871="issue","Issued",IF(C871="transfer","Moved",IF(C871="write_off","Written off",IF(C871="unfilled","Unfilled",""))))))))</f>
      </c>
      <c r="B871" s="31"/>
      <c r="C871" s="35"/>
      <c r="D871" s="33"/>
      <c r="E871" s="31"/>
      <c r="F871" s="31"/>
      <c r="G871" s="37">
        <f>IF(F871="","",IF(ISNA(MATCH(F871,'Item master'!$A$2:$A$301,0)),"Not in Item master",IFERROR(INDEX('Item master'!$B$2:$B$301,MATCH(F871,'Item master'!$A$2:$A$301,0))&amp;"","")))</f>
      </c>
      <c r="H871" s="34"/>
      <c r="I871" s="31"/>
      <c r="J871" s="31"/>
      <c r="K871" s="33"/>
      <c r="L871" s="31"/>
      <c r="M871" s="35"/>
      <c r="N871" s="30"/>
      <c r="O871" s="30"/>
      <c r="P871" s="36"/>
      <c r="Q871" s="38">
        <f>IF(OR(C871&lt;&gt;"loan",E871=""),"",IF(ISNA(MATCH(E871,Units!$A$2:$A$501,0)),"",IF(INDEX(Units!$E$2:$E$501,MATCH(E871,Units!$A$2:$A$501,0))="","",IF(K871="","No due date",IF(INT(K871)&gt;INDEX(Units!$E$2:$E$501,MATCH(E871,Units!$A$2:$A$501,0)),"Past cal date","OK")))))</f>
      </c>
      <c r="R871" s="37">
        <f>IF(A871="Overdue",K871+ROW()/10000000,"")</f>
      </c>
    </row>
    <row r="872">
      <c r="A872" s="38">
        <f>IF(C872="","",IF(B872="","Needs ID",IF(OR(C872="loan",C872="send_out"),IF(COUNTIF($L$2:$L$1001,B872)&gt;0,"Closed",IF(K872="","Open",IF(K872&lt;NOW(),"Overdue","Open"))),IF(C872="return",IF(OR(L872="",COUNTIF($B$2:$B$1001,L872)=0),"No match",IF(OR(M872="worn",M872="damaged"),"Quarantine","Returned")),IF(C872="issue","Issued",IF(C872="transfer","Moved",IF(C872="write_off","Written off",IF(C872="unfilled","Unfilled",""))))))))</f>
      </c>
      <c r="B872" s="31"/>
      <c r="C872" s="35"/>
      <c r="D872" s="33"/>
      <c r="E872" s="31"/>
      <c r="F872" s="31"/>
      <c r="G872" s="37">
        <f>IF(F872="","",IF(ISNA(MATCH(F872,'Item master'!$A$2:$A$301,0)),"Not in Item master",IFERROR(INDEX('Item master'!$B$2:$B$301,MATCH(F872,'Item master'!$A$2:$A$301,0))&amp;"","")))</f>
      </c>
      <c r="H872" s="34"/>
      <c r="I872" s="31"/>
      <c r="J872" s="31"/>
      <c r="K872" s="33"/>
      <c r="L872" s="31"/>
      <c r="M872" s="35"/>
      <c r="N872" s="30"/>
      <c r="O872" s="30"/>
      <c r="P872" s="36"/>
      <c r="Q872" s="38">
        <f>IF(OR(C872&lt;&gt;"loan",E872=""),"",IF(ISNA(MATCH(E872,Units!$A$2:$A$501,0)),"",IF(INDEX(Units!$E$2:$E$501,MATCH(E872,Units!$A$2:$A$501,0))="","",IF(K872="","No due date",IF(INT(K872)&gt;INDEX(Units!$E$2:$E$501,MATCH(E872,Units!$A$2:$A$501,0)),"Past cal date","OK")))))</f>
      </c>
      <c r="R872" s="37">
        <f>IF(A872="Overdue",K872+ROW()/10000000,"")</f>
      </c>
    </row>
    <row r="873">
      <c r="A873" s="38">
        <f>IF(C873="","",IF(B873="","Needs ID",IF(OR(C873="loan",C873="send_out"),IF(COUNTIF($L$2:$L$1001,B873)&gt;0,"Closed",IF(K873="","Open",IF(K873&lt;NOW(),"Overdue","Open"))),IF(C873="return",IF(OR(L873="",COUNTIF($B$2:$B$1001,L873)=0),"No match",IF(OR(M873="worn",M873="damaged"),"Quarantine","Returned")),IF(C873="issue","Issued",IF(C873="transfer","Moved",IF(C873="write_off","Written off",IF(C873="unfilled","Unfilled",""))))))))</f>
      </c>
      <c r="B873" s="31"/>
      <c r="C873" s="35"/>
      <c r="D873" s="33"/>
      <c r="E873" s="31"/>
      <c r="F873" s="31"/>
      <c r="G873" s="37">
        <f>IF(F873="","",IF(ISNA(MATCH(F873,'Item master'!$A$2:$A$301,0)),"Not in Item master",IFERROR(INDEX('Item master'!$B$2:$B$301,MATCH(F873,'Item master'!$A$2:$A$301,0))&amp;"","")))</f>
      </c>
      <c r="H873" s="34"/>
      <c r="I873" s="31"/>
      <c r="J873" s="31"/>
      <c r="K873" s="33"/>
      <c r="L873" s="31"/>
      <c r="M873" s="35"/>
      <c r="N873" s="30"/>
      <c r="O873" s="30"/>
      <c r="P873" s="36"/>
      <c r="Q873" s="38">
        <f>IF(OR(C873&lt;&gt;"loan",E873=""),"",IF(ISNA(MATCH(E873,Units!$A$2:$A$501,0)),"",IF(INDEX(Units!$E$2:$E$501,MATCH(E873,Units!$A$2:$A$501,0))="","",IF(K873="","No due date",IF(INT(K873)&gt;INDEX(Units!$E$2:$E$501,MATCH(E873,Units!$A$2:$A$501,0)),"Past cal date","OK")))))</f>
      </c>
      <c r="R873" s="37">
        <f>IF(A873="Overdue",K873+ROW()/10000000,"")</f>
      </c>
    </row>
    <row r="874">
      <c r="A874" s="38">
        <f>IF(C874="","",IF(B874="","Needs ID",IF(OR(C874="loan",C874="send_out"),IF(COUNTIF($L$2:$L$1001,B874)&gt;0,"Closed",IF(K874="","Open",IF(K874&lt;NOW(),"Overdue","Open"))),IF(C874="return",IF(OR(L874="",COUNTIF($B$2:$B$1001,L874)=0),"No match",IF(OR(M874="worn",M874="damaged"),"Quarantine","Returned")),IF(C874="issue","Issued",IF(C874="transfer","Moved",IF(C874="write_off","Written off",IF(C874="unfilled","Unfilled",""))))))))</f>
      </c>
      <c r="B874" s="31"/>
      <c r="C874" s="35"/>
      <c r="D874" s="33"/>
      <c r="E874" s="31"/>
      <c r="F874" s="31"/>
      <c r="G874" s="37">
        <f>IF(F874="","",IF(ISNA(MATCH(F874,'Item master'!$A$2:$A$301,0)),"Not in Item master",IFERROR(INDEX('Item master'!$B$2:$B$301,MATCH(F874,'Item master'!$A$2:$A$301,0))&amp;"","")))</f>
      </c>
      <c r="H874" s="34"/>
      <c r="I874" s="31"/>
      <c r="J874" s="31"/>
      <c r="K874" s="33"/>
      <c r="L874" s="31"/>
      <c r="M874" s="35"/>
      <c r="N874" s="30"/>
      <c r="O874" s="30"/>
      <c r="P874" s="36"/>
      <c r="Q874" s="38">
        <f>IF(OR(C874&lt;&gt;"loan",E874=""),"",IF(ISNA(MATCH(E874,Units!$A$2:$A$501,0)),"",IF(INDEX(Units!$E$2:$E$501,MATCH(E874,Units!$A$2:$A$501,0))="","",IF(K874="","No due date",IF(INT(K874)&gt;INDEX(Units!$E$2:$E$501,MATCH(E874,Units!$A$2:$A$501,0)),"Past cal date","OK")))))</f>
      </c>
      <c r="R874" s="37">
        <f>IF(A874="Overdue",K874+ROW()/10000000,"")</f>
      </c>
    </row>
    <row r="875">
      <c r="A875" s="38">
        <f>IF(C875="","",IF(B875="","Needs ID",IF(OR(C875="loan",C875="send_out"),IF(COUNTIF($L$2:$L$1001,B875)&gt;0,"Closed",IF(K875="","Open",IF(K875&lt;NOW(),"Overdue","Open"))),IF(C875="return",IF(OR(L875="",COUNTIF($B$2:$B$1001,L875)=0),"No match",IF(OR(M875="worn",M875="damaged"),"Quarantine","Returned")),IF(C875="issue","Issued",IF(C875="transfer","Moved",IF(C875="write_off","Written off",IF(C875="unfilled","Unfilled",""))))))))</f>
      </c>
      <c r="B875" s="31"/>
      <c r="C875" s="35"/>
      <c r="D875" s="33"/>
      <c r="E875" s="31"/>
      <c r="F875" s="31"/>
      <c r="G875" s="37">
        <f>IF(F875="","",IF(ISNA(MATCH(F875,'Item master'!$A$2:$A$301,0)),"Not in Item master",IFERROR(INDEX('Item master'!$B$2:$B$301,MATCH(F875,'Item master'!$A$2:$A$301,0))&amp;"","")))</f>
      </c>
      <c r="H875" s="34"/>
      <c r="I875" s="31"/>
      <c r="J875" s="31"/>
      <c r="K875" s="33"/>
      <c r="L875" s="31"/>
      <c r="M875" s="35"/>
      <c r="N875" s="30"/>
      <c r="O875" s="30"/>
      <c r="P875" s="36"/>
      <c r="Q875" s="38">
        <f>IF(OR(C875&lt;&gt;"loan",E875=""),"",IF(ISNA(MATCH(E875,Units!$A$2:$A$501,0)),"",IF(INDEX(Units!$E$2:$E$501,MATCH(E875,Units!$A$2:$A$501,0))="","",IF(K875="","No due date",IF(INT(K875)&gt;INDEX(Units!$E$2:$E$501,MATCH(E875,Units!$A$2:$A$501,0)),"Past cal date","OK")))))</f>
      </c>
      <c r="R875" s="37">
        <f>IF(A875="Overdue",K875+ROW()/10000000,"")</f>
      </c>
    </row>
    <row r="876">
      <c r="A876" s="38">
        <f>IF(C876="","",IF(B876="","Needs ID",IF(OR(C876="loan",C876="send_out"),IF(COUNTIF($L$2:$L$1001,B876)&gt;0,"Closed",IF(K876="","Open",IF(K876&lt;NOW(),"Overdue","Open"))),IF(C876="return",IF(OR(L876="",COUNTIF($B$2:$B$1001,L876)=0),"No match",IF(OR(M876="worn",M876="damaged"),"Quarantine","Returned")),IF(C876="issue","Issued",IF(C876="transfer","Moved",IF(C876="write_off","Written off",IF(C876="unfilled","Unfilled",""))))))))</f>
      </c>
      <c r="B876" s="31"/>
      <c r="C876" s="35"/>
      <c r="D876" s="33"/>
      <c r="E876" s="31"/>
      <c r="F876" s="31"/>
      <c r="G876" s="37">
        <f>IF(F876="","",IF(ISNA(MATCH(F876,'Item master'!$A$2:$A$301,0)),"Not in Item master",IFERROR(INDEX('Item master'!$B$2:$B$301,MATCH(F876,'Item master'!$A$2:$A$301,0))&amp;"","")))</f>
      </c>
      <c r="H876" s="34"/>
      <c r="I876" s="31"/>
      <c r="J876" s="31"/>
      <c r="K876" s="33"/>
      <c r="L876" s="31"/>
      <c r="M876" s="35"/>
      <c r="N876" s="30"/>
      <c r="O876" s="30"/>
      <c r="P876" s="36"/>
      <c r="Q876" s="38">
        <f>IF(OR(C876&lt;&gt;"loan",E876=""),"",IF(ISNA(MATCH(E876,Units!$A$2:$A$501,0)),"",IF(INDEX(Units!$E$2:$E$501,MATCH(E876,Units!$A$2:$A$501,0))="","",IF(K876="","No due date",IF(INT(K876)&gt;INDEX(Units!$E$2:$E$501,MATCH(E876,Units!$A$2:$A$501,0)),"Past cal date","OK")))))</f>
      </c>
      <c r="R876" s="37">
        <f>IF(A876="Overdue",K876+ROW()/10000000,"")</f>
      </c>
    </row>
    <row r="877">
      <c r="A877" s="38">
        <f>IF(C877="","",IF(B877="","Needs ID",IF(OR(C877="loan",C877="send_out"),IF(COUNTIF($L$2:$L$1001,B877)&gt;0,"Closed",IF(K877="","Open",IF(K877&lt;NOW(),"Overdue","Open"))),IF(C877="return",IF(OR(L877="",COUNTIF($B$2:$B$1001,L877)=0),"No match",IF(OR(M877="worn",M877="damaged"),"Quarantine","Returned")),IF(C877="issue","Issued",IF(C877="transfer","Moved",IF(C877="write_off","Written off",IF(C877="unfilled","Unfilled",""))))))))</f>
      </c>
      <c r="B877" s="31"/>
      <c r="C877" s="35"/>
      <c r="D877" s="33"/>
      <c r="E877" s="31"/>
      <c r="F877" s="31"/>
      <c r="G877" s="37">
        <f>IF(F877="","",IF(ISNA(MATCH(F877,'Item master'!$A$2:$A$301,0)),"Not in Item master",IFERROR(INDEX('Item master'!$B$2:$B$301,MATCH(F877,'Item master'!$A$2:$A$301,0))&amp;"","")))</f>
      </c>
      <c r="H877" s="34"/>
      <c r="I877" s="31"/>
      <c r="J877" s="31"/>
      <c r="K877" s="33"/>
      <c r="L877" s="31"/>
      <c r="M877" s="35"/>
      <c r="N877" s="30"/>
      <c r="O877" s="30"/>
      <c r="P877" s="36"/>
      <c r="Q877" s="38">
        <f>IF(OR(C877&lt;&gt;"loan",E877=""),"",IF(ISNA(MATCH(E877,Units!$A$2:$A$501,0)),"",IF(INDEX(Units!$E$2:$E$501,MATCH(E877,Units!$A$2:$A$501,0))="","",IF(K877="","No due date",IF(INT(K877)&gt;INDEX(Units!$E$2:$E$501,MATCH(E877,Units!$A$2:$A$501,0)),"Past cal date","OK")))))</f>
      </c>
      <c r="R877" s="37">
        <f>IF(A877="Overdue",K877+ROW()/10000000,"")</f>
      </c>
    </row>
    <row r="878">
      <c r="A878" s="38">
        <f>IF(C878="","",IF(B878="","Needs ID",IF(OR(C878="loan",C878="send_out"),IF(COUNTIF($L$2:$L$1001,B878)&gt;0,"Closed",IF(K878="","Open",IF(K878&lt;NOW(),"Overdue","Open"))),IF(C878="return",IF(OR(L878="",COUNTIF($B$2:$B$1001,L878)=0),"No match",IF(OR(M878="worn",M878="damaged"),"Quarantine","Returned")),IF(C878="issue","Issued",IF(C878="transfer","Moved",IF(C878="write_off","Written off",IF(C878="unfilled","Unfilled",""))))))))</f>
      </c>
      <c r="B878" s="31"/>
      <c r="C878" s="35"/>
      <c r="D878" s="33"/>
      <c r="E878" s="31"/>
      <c r="F878" s="31"/>
      <c r="G878" s="37">
        <f>IF(F878="","",IF(ISNA(MATCH(F878,'Item master'!$A$2:$A$301,0)),"Not in Item master",IFERROR(INDEX('Item master'!$B$2:$B$301,MATCH(F878,'Item master'!$A$2:$A$301,0))&amp;"","")))</f>
      </c>
      <c r="H878" s="34"/>
      <c r="I878" s="31"/>
      <c r="J878" s="31"/>
      <c r="K878" s="33"/>
      <c r="L878" s="31"/>
      <c r="M878" s="35"/>
      <c r="N878" s="30"/>
      <c r="O878" s="30"/>
      <c r="P878" s="36"/>
      <c r="Q878" s="38">
        <f>IF(OR(C878&lt;&gt;"loan",E878=""),"",IF(ISNA(MATCH(E878,Units!$A$2:$A$501,0)),"",IF(INDEX(Units!$E$2:$E$501,MATCH(E878,Units!$A$2:$A$501,0))="","",IF(K878="","No due date",IF(INT(K878)&gt;INDEX(Units!$E$2:$E$501,MATCH(E878,Units!$A$2:$A$501,0)),"Past cal date","OK")))))</f>
      </c>
      <c r="R878" s="37">
        <f>IF(A878="Overdue",K878+ROW()/10000000,"")</f>
      </c>
    </row>
    <row r="879">
      <c r="A879" s="38">
        <f>IF(C879="","",IF(B879="","Needs ID",IF(OR(C879="loan",C879="send_out"),IF(COUNTIF($L$2:$L$1001,B879)&gt;0,"Closed",IF(K879="","Open",IF(K879&lt;NOW(),"Overdue","Open"))),IF(C879="return",IF(OR(L879="",COUNTIF($B$2:$B$1001,L879)=0),"No match",IF(OR(M879="worn",M879="damaged"),"Quarantine","Returned")),IF(C879="issue","Issued",IF(C879="transfer","Moved",IF(C879="write_off","Written off",IF(C879="unfilled","Unfilled",""))))))))</f>
      </c>
      <c r="B879" s="31"/>
      <c r="C879" s="35"/>
      <c r="D879" s="33"/>
      <c r="E879" s="31"/>
      <c r="F879" s="31"/>
      <c r="G879" s="37">
        <f>IF(F879="","",IF(ISNA(MATCH(F879,'Item master'!$A$2:$A$301,0)),"Not in Item master",IFERROR(INDEX('Item master'!$B$2:$B$301,MATCH(F879,'Item master'!$A$2:$A$301,0))&amp;"","")))</f>
      </c>
      <c r="H879" s="34"/>
      <c r="I879" s="31"/>
      <c r="J879" s="31"/>
      <c r="K879" s="33"/>
      <c r="L879" s="31"/>
      <c r="M879" s="35"/>
      <c r="N879" s="30"/>
      <c r="O879" s="30"/>
      <c r="P879" s="36"/>
      <c r="Q879" s="38">
        <f>IF(OR(C879&lt;&gt;"loan",E879=""),"",IF(ISNA(MATCH(E879,Units!$A$2:$A$501,0)),"",IF(INDEX(Units!$E$2:$E$501,MATCH(E879,Units!$A$2:$A$501,0))="","",IF(K879="","No due date",IF(INT(K879)&gt;INDEX(Units!$E$2:$E$501,MATCH(E879,Units!$A$2:$A$501,0)),"Past cal date","OK")))))</f>
      </c>
      <c r="R879" s="37">
        <f>IF(A879="Overdue",K879+ROW()/10000000,"")</f>
      </c>
    </row>
    <row r="880">
      <c r="A880" s="38">
        <f>IF(C880="","",IF(B880="","Needs ID",IF(OR(C880="loan",C880="send_out"),IF(COUNTIF($L$2:$L$1001,B880)&gt;0,"Closed",IF(K880="","Open",IF(K880&lt;NOW(),"Overdue","Open"))),IF(C880="return",IF(OR(L880="",COUNTIF($B$2:$B$1001,L880)=0),"No match",IF(OR(M880="worn",M880="damaged"),"Quarantine","Returned")),IF(C880="issue","Issued",IF(C880="transfer","Moved",IF(C880="write_off","Written off",IF(C880="unfilled","Unfilled",""))))))))</f>
      </c>
      <c r="B880" s="31"/>
      <c r="C880" s="35"/>
      <c r="D880" s="33"/>
      <c r="E880" s="31"/>
      <c r="F880" s="31"/>
      <c r="G880" s="37">
        <f>IF(F880="","",IF(ISNA(MATCH(F880,'Item master'!$A$2:$A$301,0)),"Not in Item master",IFERROR(INDEX('Item master'!$B$2:$B$301,MATCH(F880,'Item master'!$A$2:$A$301,0))&amp;"","")))</f>
      </c>
      <c r="H880" s="34"/>
      <c r="I880" s="31"/>
      <c r="J880" s="31"/>
      <c r="K880" s="33"/>
      <c r="L880" s="31"/>
      <c r="M880" s="35"/>
      <c r="N880" s="30"/>
      <c r="O880" s="30"/>
      <c r="P880" s="36"/>
      <c r="Q880" s="38">
        <f>IF(OR(C880&lt;&gt;"loan",E880=""),"",IF(ISNA(MATCH(E880,Units!$A$2:$A$501,0)),"",IF(INDEX(Units!$E$2:$E$501,MATCH(E880,Units!$A$2:$A$501,0))="","",IF(K880="","No due date",IF(INT(K880)&gt;INDEX(Units!$E$2:$E$501,MATCH(E880,Units!$A$2:$A$501,0)),"Past cal date","OK")))))</f>
      </c>
      <c r="R880" s="37">
        <f>IF(A880="Overdue",K880+ROW()/10000000,"")</f>
      </c>
    </row>
    <row r="881">
      <c r="A881" s="38">
        <f>IF(C881="","",IF(B881="","Needs ID",IF(OR(C881="loan",C881="send_out"),IF(COUNTIF($L$2:$L$1001,B881)&gt;0,"Closed",IF(K881="","Open",IF(K881&lt;NOW(),"Overdue","Open"))),IF(C881="return",IF(OR(L881="",COUNTIF($B$2:$B$1001,L881)=0),"No match",IF(OR(M881="worn",M881="damaged"),"Quarantine","Returned")),IF(C881="issue","Issued",IF(C881="transfer","Moved",IF(C881="write_off","Written off",IF(C881="unfilled","Unfilled",""))))))))</f>
      </c>
      <c r="B881" s="31"/>
      <c r="C881" s="35"/>
      <c r="D881" s="33"/>
      <c r="E881" s="31"/>
      <c r="F881" s="31"/>
      <c r="G881" s="37">
        <f>IF(F881="","",IF(ISNA(MATCH(F881,'Item master'!$A$2:$A$301,0)),"Not in Item master",IFERROR(INDEX('Item master'!$B$2:$B$301,MATCH(F881,'Item master'!$A$2:$A$301,0))&amp;"","")))</f>
      </c>
      <c r="H881" s="34"/>
      <c r="I881" s="31"/>
      <c r="J881" s="31"/>
      <c r="K881" s="33"/>
      <c r="L881" s="31"/>
      <c r="M881" s="35"/>
      <c r="N881" s="30"/>
      <c r="O881" s="30"/>
      <c r="P881" s="36"/>
      <c r="Q881" s="38">
        <f>IF(OR(C881&lt;&gt;"loan",E881=""),"",IF(ISNA(MATCH(E881,Units!$A$2:$A$501,0)),"",IF(INDEX(Units!$E$2:$E$501,MATCH(E881,Units!$A$2:$A$501,0))="","",IF(K881="","No due date",IF(INT(K881)&gt;INDEX(Units!$E$2:$E$501,MATCH(E881,Units!$A$2:$A$501,0)),"Past cal date","OK")))))</f>
      </c>
      <c r="R881" s="37">
        <f>IF(A881="Overdue",K881+ROW()/10000000,"")</f>
      </c>
    </row>
    <row r="882">
      <c r="A882" s="38">
        <f>IF(C882="","",IF(B882="","Needs ID",IF(OR(C882="loan",C882="send_out"),IF(COUNTIF($L$2:$L$1001,B882)&gt;0,"Closed",IF(K882="","Open",IF(K882&lt;NOW(),"Overdue","Open"))),IF(C882="return",IF(OR(L882="",COUNTIF($B$2:$B$1001,L882)=0),"No match",IF(OR(M882="worn",M882="damaged"),"Quarantine","Returned")),IF(C882="issue","Issued",IF(C882="transfer","Moved",IF(C882="write_off","Written off",IF(C882="unfilled","Unfilled",""))))))))</f>
      </c>
      <c r="B882" s="31"/>
      <c r="C882" s="35"/>
      <c r="D882" s="33"/>
      <c r="E882" s="31"/>
      <c r="F882" s="31"/>
      <c r="G882" s="37">
        <f>IF(F882="","",IF(ISNA(MATCH(F882,'Item master'!$A$2:$A$301,0)),"Not in Item master",IFERROR(INDEX('Item master'!$B$2:$B$301,MATCH(F882,'Item master'!$A$2:$A$301,0))&amp;"","")))</f>
      </c>
      <c r="H882" s="34"/>
      <c r="I882" s="31"/>
      <c r="J882" s="31"/>
      <c r="K882" s="33"/>
      <c r="L882" s="31"/>
      <c r="M882" s="35"/>
      <c r="N882" s="30"/>
      <c r="O882" s="30"/>
      <c r="P882" s="36"/>
      <c r="Q882" s="38">
        <f>IF(OR(C882&lt;&gt;"loan",E882=""),"",IF(ISNA(MATCH(E882,Units!$A$2:$A$501,0)),"",IF(INDEX(Units!$E$2:$E$501,MATCH(E882,Units!$A$2:$A$501,0))="","",IF(K882="","No due date",IF(INT(K882)&gt;INDEX(Units!$E$2:$E$501,MATCH(E882,Units!$A$2:$A$501,0)),"Past cal date","OK")))))</f>
      </c>
      <c r="R882" s="37">
        <f>IF(A882="Overdue",K882+ROW()/10000000,"")</f>
      </c>
    </row>
    <row r="883">
      <c r="A883" s="38">
        <f>IF(C883="","",IF(B883="","Needs ID",IF(OR(C883="loan",C883="send_out"),IF(COUNTIF($L$2:$L$1001,B883)&gt;0,"Closed",IF(K883="","Open",IF(K883&lt;NOW(),"Overdue","Open"))),IF(C883="return",IF(OR(L883="",COUNTIF($B$2:$B$1001,L883)=0),"No match",IF(OR(M883="worn",M883="damaged"),"Quarantine","Returned")),IF(C883="issue","Issued",IF(C883="transfer","Moved",IF(C883="write_off","Written off",IF(C883="unfilled","Unfilled",""))))))))</f>
      </c>
      <c r="B883" s="31"/>
      <c r="C883" s="35"/>
      <c r="D883" s="33"/>
      <c r="E883" s="31"/>
      <c r="F883" s="31"/>
      <c r="G883" s="37">
        <f>IF(F883="","",IF(ISNA(MATCH(F883,'Item master'!$A$2:$A$301,0)),"Not in Item master",IFERROR(INDEX('Item master'!$B$2:$B$301,MATCH(F883,'Item master'!$A$2:$A$301,0))&amp;"","")))</f>
      </c>
      <c r="H883" s="34"/>
      <c r="I883" s="31"/>
      <c r="J883" s="31"/>
      <c r="K883" s="33"/>
      <c r="L883" s="31"/>
      <c r="M883" s="35"/>
      <c r="N883" s="30"/>
      <c r="O883" s="30"/>
      <c r="P883" s="36"/>
      <c r="Q883" s="38">
        <f>IF(OR(C883&lt;&gt;"loan",E883=""),"",IF(ISNA(MATCH(E883,Units!$A$2:$A$501,0)),"",IF(INDEX(Units!$E$2:$E$501,MATCH(E883,Units!$A$2:$A$501,0))="","",IF(K883="","No due date",IF(INT(K883)&gt;INDEX(Units!$E$2:$E$501,MATCH(E883,Units!$A$2:$A$501,0)),"Past cal date","OK")))))</f>
      </c>
      <c r="R883" s="37">
        <f>IF(A883="Overdue",K883+ROW()/10000000,"")</f>
      </c>
    </row>
    <row r="884">
      <c r="A884" s="38">
        <f>IF(C884="","",IF(B884="","Needs ID",IF(OR(C884="loan",C884="send_out"),IF(COUNTIF($L$2:$L$1001,B884)&gt;0,"Closed",IF(K884="","Open",IF(K884&lt;NOW(),"Overdue","Open"))),IF(C884="return",IF(OR(L884="",COUNTIF($B$2:$B$1001,L884)=0),"No match",IF(OR(M884="worn",M884="damaged"),"Quarantine","Returned")),IF(C884="issue","Issued",IF(C884="transfer","Moved",IF(C884="write_off","Written off",IF(C884="unfilled","Unfilled",""))))))))</f>
      </c>
      <c r="B884" s="31"/>
      <c r="C884" s="35"/>
      <c r="D884" s="33"/>
      <c r="E884" s="31"/>
      <c r="F884" s="31"/>
      <c r="G884" s="37">
        <f>IF(F884="","",IF(ISNA(MATCH(F884,'Item master'!$A$2:$A$301,0)),"Not in Item master",IFERROR(INDEX('Item master'!$B$2:$B$301,MATCH(F884,'Item master'!$A$2:$A$301,0))&amp;"","")))</f>
      </c>
      <c r="H884" s="34"/>
      <c r="I884" s="31"/>
      <c r="J884" s="31"/>
      <c r="K884" s="33"/>
      <c r="L884" s="31"/>
      <c r="M884" s="35"/>
      <c r="N884" s="30"/>
      <c r="O884" s="30"/>
      <c r="P884" s="36"/>
      <c r="Q884" s="38">
        <f>IF(OR(C884&lt;&gt;"loan",E884=""),"",IF(ISNA(MATCH(E884,Units!$A$2:$A$501,0)),"",IF(INDEX(Units!$E$2:$E$501,MATCH(E884,Units!$A$2:$A$501,0))="","",IF(K884="","No due date",IF(INT(K884)&gt;INDEX(Units!$E$2:$E$501,MATCH(E884,Units!$A$2:$A$501,0)),"Past cal date","OK")))))</f>
      </c>
      <c r="R884" s="37">
        <f>IF(A884="Overdue",K884+ROW()/10000000,"")</f>
      </c>
    </row>
    <row r="885">
      <c r="A885" s="38">
        <f>IF(C885="","",IF(B885="","Needs ID",IF(OR(C885="loan",C885="send_out"),IF(COUNTIF($L$2:$L$1001,B885)&gt;0,"Closed",IF(K885="","Open",IF(K885&lt;NOW(),"Overdue","Open"))),IF(C885="return",IF(OR(L885="",COUNTIF($B$2:$B$1001,L885)=0),"No match",IF(OR(M885="worn",M885="damaged"),"Quarantine","Returned")),IF(C885="issue","Issued",IF(C885="transfer","Moved",IF(C885="write_off","Written off",IF(C885="unfilled","Unfilled",""))))))))</f>
      </c>
      <c r="B885" s="31"/>
      <c r="C885" s="35"/>
      <c r="D885" s="33"/>
      <c r="E885" s="31"/>
      <c r="F885" s="31"/>
      <c r="G885" s="37">
        <f>IF(F885="","",IF(ISNA(MATCH(F885,'Item master'!$A$2:$A$301,0)),"Not in Item master",IFERROR(INDEX('Item master'!$B$2:$B$301,MATCH(F885,'Item master'!$A$2:$A$301,0))&amp;"","")))</f>
      </c>
      <c r="H885" s="34"/>
      <c r="I885" s="31"/>
      <c r="J885" s="31"/>
      <c r="K885" s="33"/>
      <c r="L885" s="31"/>
      <c r="M885" s="35"/>
      <c r="N885" s="30"/>
      <c r="O885" s="30"/>
      <c r="P885" s="36"/>
      <c r="Q885" s="38">
        <f>IF(OR(C885&lt;&gt;"loan",E885=""),"",IF(ISNA(MATCH(E885,Units!$A$2:$A$501,0)),"",IF(INDEX(Units!$E$2:$E$501,MATCH(E885,Units!$A$2:$A$501,0))="","",IF(K885="","No due date",IF(INT(K885)&gt;INDEX(Units!$E$2:$E$501,MATCH(E885,Units!$A$2:$A$501,0)),"Past cal date","OK")))))</f>
      </c>
      <c r="R885" s="37">
        <f>IF(A885="Overdue",K885+ROW()/10000000,"")</f>
      </c>
    </row>
    <row r="886">
      <c r="A886" s="38">
        <f>IF(C886="","",IF(B886="","Needs ID",IF(OR(C886="loan",C886="send_out"),IF(COUNTIF($L$2:$L$1001,B886)&gt;0,"Closed",IF(K886="","Open",IF(K886&lt;NOW(),"Overdue","Open"))),IF(C886="return",IF(OR(L886="",COUNTIF($B$2:$B$1001,L886)=0),"No match",IF(OR(M886="worn",M886="damaged"),"Quarantine","Returned")),IF(C886="issue","Issued",IF(C886="transfer","Moved",IF(C886="write_off","Written off",IF(C886="unfilled","Unfilled",""))))))))</f>
      </c>
      <c r="B886" s="31"/>
      <c r="C886" s="35"/>
      <c r="D886" s="33"/>
      <c r="E886" s="31"/>
      <c r="F886" s="31"/>
      <c r="G886" s="37">
        <f>IF(F886="","",IF(ISNA(MATCH(F886,'Item master'!$A$2:$A$301,0)),"Not in Item master",IFERROR(INDEX('Item master'!$B$2:$B$301,MATCH(F886,'Item master'!$A$2:$A$301,0))&amp;"","")))</f>
      </c>
      <c r="H886" s="34"/>
      <c r="I886" s="31"/>
      <c r="J886" s="31"/>
      <c r="K886" s="33"/>
      <c r="L886" s="31"/>
      <c r="M886" s="35"/>
      <c r="N886" s="30"/>
      <c r="O886" s="30"/>
      <c r="P886" s="36"/>
      <c r="Q886" s="38">
        <f>IF(OR(C886&lt;&gt;"loan",E886=""),"",IF(ISNA(MATCH(E886,Units!$A$2:$A$501,0)),"",IF(INDEX(Units!$E$2:$E$501,MATCH(E886,Units!$A$2:$A$501,0))="","",IF(K886="","No due date",IF(INT(K886)&gt;INDEX(Units!$E$2:$E$501,MATCH(E886,Units!$A$2:$A$501,0)),"Past cal date","OK")))))</f>
      </c>
      <c r="R886" s="37">
        <f>IF(A886="Overdue",K886+ROW()/10000000,"")</f>
      </c>
    </row>
    <row r="887">
      <c r="A887" s="38">
        <f>IF(C887="","",IF(B887="","Needs ID",IF(OR(C887="loan",C887="send_out"),IF(COUNTIF($L$2:$L$1001,B887)&gt;0,"Closed",IF(K887="","Open",IF(K887&lt;NOW(),"Overdue","Open"))),IF(C887="return",IF(OR(L887="",COUNTIF($B$2:$B$1001,L887)=0),"No match",IF(OR(M887="worn",M887="damaged"),"Quarantine","Returned")),IF(C887="issue","Issued",IF(C887="transfer","Moved",IF(C887="write_off","Written off",IF(C887="unfilled","Unfilled",""))))))))</f>
      </c>
      <c r="B887" s="31"/>
      <c r="C887" s="35"/>
      <c r="D887" s="33"/>
      <c r="E887" s="31"/>
      <c r="F887" s="31"/>
      <c r="G887" s="37">
        <f>IF(F887="","",IF(ISNA(MATCH(F887,'Item master'!$A$2:$A$301,0)),"Not in Item master",IFERROR(INDEX('Item master'!$B$2:$B$301,MATCH(F887,'Item master'!$A$2:$A$301,0))&amp;"","")))</f>
      </c>
      <c r="H887" s="34"/>
      <c r="I887" s="31"/>
      <c r="J887" s="31"/>
      <c r="K887" s="33"/>
      <c r="L887" s="31"/>
      <c r="M887" s="35"/>
      <c r="N887" s="30"/>
      <c r="O887" s="30"/>
      <c r="P887" s="36"/>
      <c r="Q887" s="38">
        <f>IF(OR(C887&lt;&gt;"loan",E887=""),"",IF(ISNA(MATCH(E887,Units!$A$2:$A$501,0)),"",IF(INDEX(Units!$E$2:$E$501,MATCH(E887,Units!$A$2:$A$501,0))="","",IF(K887="","No due date",IF(INT(K887)&gt;INDEX(Units!$E$2:$E$501,MATCH(E887,Units!$A$2:$A$501,0)),"Past cal date","OK")))))</f>
      </c>
      <c r="R887" s="37">
        <f>IF(A887="Overdue",K887+ROW()/10000000,"")</f>
      </c>
    </row>
    <row r="888">
      <c r="A888" s="38">
        <f>IF(C888="","",IF(B888="","Needs ID",IF(OR(C888="loan",C888="send_out"),IF(COUNTIF($L$2:$L$1001,B888)&gt;0,"Closed",IF(K888="","Open",IF(K888&lt;NOW(),"Overdue","Open"))),IF(C888="return",IF(OR(L888="",COUNTIF($B$2:$B$1001,L888)=0),"No match",IF(OR(M888="worn",M888="damaged"),"Quarantine","Returned")),IF(C888="issue","Issued",IF(C888="transfer","Moved",IF(C888="write_off","Written off",IF(C888="unfilled","Unfilled",""))))))))</f>
      </c>
      <c r="B888" s="31"/>
      <c r="C888" s="35"/>
      <c r="D888" s="33"/>
      <c r="E888" s="31"/>
      <c r="F888" s="31"/>
      <c r="G888" s="37">
        <f>IF(F888="","",IF(ISNA(MATCH(F888,'Item master'!$A$2:$A$301,0)),"Not in Item master",IFERROR(INDEX('Item master'!$B$2:$B$301,MATCH(F888,'Item master'!$A$2:$A$301,0))&amp;"","")))</f>
      </c>
      <c r="H888" s="34"/>
      <c r="I888" s="31"/>
      <c r="J888" s="31"/>
      <c r="K888" s="33"/>
      <c r="L888" s="31"/>
      <c r="M888" s="35"/>
      <c r="N888" s="30"/>
      <c r="O888" s="30"/>
      <c r="P888" s="36"/>
      <c r="Q888" s="38">
        <f>IF(OR(C888&lt;&gt;"loan",E888=""),"",IF(ISNA(MATCH(E888,Units!$A$2:$A$501,0)),"",IF(INDEX(Units!$E$2:$E$501,MATCH(E888,Units!$A$2:$A$501,0))="","",IF(K888="","No due date",IF(INT(K888)&gt;INDEX(Units!$E$2:$E$501,MATCH(E888,Units!$A$2:$A$501,0)),"Past cal date","OK")))))</f>
      </c>
      <c r="R888" s="37">
        <f>IF(A888="Overdue",K888+ROW()/10000000,"")</f>
      </c>
    </row>
    <row r="889">
      <c r="A889" s="38">
        <f>IF(C889="","",IF(B889="","Needs ID",IF(OR(C889="loan",C889="send_out"),IF(COUNTIF($L$2:$L$1001,B889)&gt;0,"Closed",IF(K889="","Open",IF(K889&lt;NOW(),"Overdue","Open"))),IF(C889="return",IF(OR(L889="",COUNTIF($B$2:$B$1001,L889)=0),"No match",IF(OR(M889="worn",M889="damaged"),"Quarantine","Returned")),IF(C889="issue","Issued",IF(C889="transfer","Moved",IF(C889="write_off","Written off",IF(C889="unfilled","Unfilled",""))))))))</f>
      </c>
      <c r="B889" s="31"/>
      <c r="C889" s="35"/>
      <c r="D889" s="33"/>
      <c r="E889" s="31"/>
      <c r="F889" s="31"/>
      <c r="G889" s="37">
        <f>IF(F889="","",IF(ISNA(MATCH(F889,'Item master'!$A$2:$A$301,0)),"Not in Item master",IFERROR(INDEX('Item master'!$B$2:$B$301,MATCH(F889,'Item master'!$A$2:$A$301,0))&amp;"","")))</f>
      </c>
      <c r="H889" s="34"/>
      <c r="I889" s="31"/>
      <c r="J889" s="31"/>
      <c r="K889" s="33"/>
      <c r="L889" s="31"/>
      <c r="M889" s="35"/>
      <c r="N889" s="30"/>
      <c r="O889" s="30"/>
      <c r="P889" s="36"/>
      <c r="Q889" s="38">
        <f>IF(OR(C889&lt;&gt;"loan",E889=""),"",IF(ISNA(MATCH(E889,Units!$A$2:$A$501,0)),"",IF(INDEX(Units!$E$2:$E$501,MATCH(E889,Units!$A$2:$A$501,0))="","",IF(K889="","No due date",IF(INT(K889)&gt;INDEX(Units!$E$2:$E$501,MATCH(E889,Units!$A$2:$A$501,0)),"Past cal date","OK")))))</f>
      </c>
      <c r="R889" s="37">
        <f>IF(A889="Overdue",K889+ROW()/10000000,"")</f>
      </c>
    </row>
    <row r="890">
      <c r="A890" s="38">
        <f>IF(C890="","",IF(B890="","Needs ID",IF(OR(C890="loan",C890="send_out"),IF(COUNTIF($L$2:$L$1001,B890)&gt;0,"Closed",IF(K890="","Open",IF(K890&lt;NOW(),"Overdue","Open"))),IF(C890="return",IF(OR(L890="",COUNTIF($B$2:$B$1001,L890)=0),"No match",IF(OR(M890="worn",M890="damaged"),"Quarantine","Returned")),IF(C890="issue","Issued",IF(C890="transfer","Moved",IF(C890="write_off","Written off",IF(C890="unfilled","Unfilled",""))))))))</f>
      </c>
      <c r="B890" s="31"/>
      <c r="C890" s="35"/>
      <c r="D890" s="33"/>
      <c r="E890" s="31"/>
      <c r="F890" s="31"/>
      <c r="G890" s="37">
        <f>IF(F890="","",IF(ISNA(MATCH(F890,'Item master'!$A$2:$A$301,0)),"Not in Item master",IFERROR(INDEX('Item master'!$B$2:$B$301,MATCH(F890,'Item master'!$A$2:$A$301,0))&amp;"","")))</f>
      </c>
      <c r="H890" s="34"/>
      <c r="I890" s="31"/>
      <c r="J890" s="31"/>
      <c r="K890" s="33"/>
      <c r="L890" s="31"/>
      <c r="M890" s="35"/>
      <c r="N890" s="30"/>
      <c r="O890" s="30"/>
      <c r="P890" s="36"/>
      <c r="Q890" s="38">
        <f>IF(OR(C890&lt;&gt;"loan",E890=""),"",IF(ISNA(MATCH(E890,Units!$A$2:$A$501,0)),"",IF(INDEX(Units!$E$2:$E$501,MATCH(E890,Units!$A$2:$A$501,0))="","",IF(K890="","No due date",IF(INT(K890)&gt;INDEX(Units!$E$2:$E$501,MATCH(E890,Units!$A$2:$A$501,0)),"Past cal date","OK")))))</f>
      </c>
      <c r="R890" s="37">
        <f>IF(A890="Overdue",K890+ROW()/10000000,"")</f>
      </c>
    </row>
    <row r="891">
      <c r="A891" s="38">
        <f>IF(C891="","",IF(B891="","Needs ID",IF(OR(C891="loan",C891="send_out"),IF(COUNTIF($L$2:$L$1001,B891)&gt;0,"Closed",IF(K891="","Open",IF(K891&lt;NOW(),"Overdue","Open"))),IF(C891="return",IF(OR(L891="",COUNTIF($B$2:$B$1001,L891)=0),"No match",IF(OR(M891="worn",M891="damaged"),"Quarantine","Returned")),IF(C891="issue","Issued",IF(C891="transfer","Moved",IF(C891="write_off","Written off",IF(C891="unfilled","Unfilled",""))))))))</f>
      </c>
      <c r="B891" s="31"/>
      <c r="C891" s="35"/>
      <c r="D891" s="33"/>
      <c r="E891" s="31"/>
      <c r="F891" s="31"/>
      <c r="G891" s="37">
        <f>IF(F891="","",IF(ISNA(MATCH(F891,'Item master'!$A$2:$A$301,0)),"Not in Item master",IFERROR(INDEX('Item master'!$B$2:$B$301,MATCH(F891,'Item master'!$A$2:$A$301,0))&amp;"","")))</f>
      </c>
      <c r="H891" s="34"/>
      <c r="I891" s="31"/>
      <c r="J891" s="31"/>
      <c r="K891" s="33"/>
      <c r="L891" s="31"/>
      <c r="M891" s="35"/>
      <c r="N891" s="30"/>
      <c r="O891" s="30"/>
      <c r="P891" s="36"/>
      <c r="Q891" s="38">
        <f>IF(OR(C891&lt;&gt;"loan",E891=""),"",IF(ISNA(MATCH(E891,Units!$A$2:$A$501,0)),"",IF(INDEX(Units!$E$2:$E$501,MATCH(E891,Units!$A$2:$A$501,0))="","",IF(K891="","No due date",IF(INT(K891)&gt;INDEX(Units!$E$2:$E$501,MATCH(E891,Units!$A$2:$A$501,0)),"Past cal date","OK")))))</f>
      </c>
      <c r="R891" s="37">
        <f>IF(A891="Overdue",K891+ROW()/10000000,"")</f>
      </c>
    </row>
    <row r="892">
      <c r="A892" s="38">
        <f>IF(C892="","",IF(B892="","Needs ID",IF(OR(C892="loan",C892="send_out"),IF(COUNTIF($L$2:$L$1001,B892)&gt;0,"Closed",IF(K892="","Open",IF(K892&lt;NOW(),"Overdue","Open"))),IF(C892="return",IF(OR(L892="",COUNTIF($B$2:$B$1001,L892)=0),"No match",IF(OR(M892="worn",M892="damaged"),"Quarantine","Returned")),IF(C892="issue","Issued",IF(C892="transfer","Moved",IF(C892="write_off","Written off",IF(C892="unfilled","Unfilled",""))))))))</f>
      </c>
      <c r="B892" s="31"/>
      <c r="C892" s="35"/>
      <c r="D892" s="33"/>
      <c r="E892" s="31"/>
      <c r="F892" s="31"/>
      <c r="G892" s="37">
        <f>IF(F892="","",IF(ISNA(MATCH(F892,'Item master'!$A$2:$A$301,0)),"Not in Item master",IFERROR(INDEX('Item master'!$B$2:$B$301,MATCH(F892,'Item master'!$A$2:$A$301,0))&amp;"","")))</f>
      </c>
      <c r="H892" s="34"/>
      <c r="I892" s="31"/>
      <c r="J892" s="31"/>
      <c r="K892" s="33"/>
      <c r="L892" s="31"/>
      <c r="M892" s="35"/>
      <c r="N892" s="30"/>
      <c r="O892" s="30"/>
      <c r="P892" s="36"/>
      <c r="Q892" s="38">
        <f>IF(OR(C892&lt;&gt;"loan",E892=""),"",IF(ISNA(MATCH(E892,Units!$A$2:$A$501,0)),"",IF(INDEX(Units!$E$2:$E$501,MATCH(E892,Units!$A$2:$A$501,0))="","",IF(K892="","No due date",IF(INT(K892)&gt;INDEX(Units!$E$2:$E$501,MATCH(E892,Units!$A$2:$A$501,0)),"Past cal date","OK")))))</f>
      </c>
      <c r="R892" s="37">
        <f>IF(A892="Overdue",K892+ROW()/10000000,"")</f>
      </c>
    </row>
    <row r="893">
      <c r="A893" s="38">
        <f>IF(C893="","",IF(B893="","Needs ID",IF(OR(C893="loan",C893="send_out"),IF(COUNTIF($L$2:$L$1001,B893)&gt;0,"Closed",IF(K893="","Open",IF(K893&lt;NOW(),"Overdue","Open"))),IF(C893="return",IF(OR(L893="",COUNTIF($B$2:$B$1001,L893)=0),"No match",IF(OR(M893="worn",M893="damaged"),"Quarantine","Returned")),IF(C893="issue","Issued",IF(C893="transfer","Moved",IF(C893="write_off","Written off",IF(C893="unfilled","Unfilled",""))))))))</f>
      </c>
      <c r="B893" s="31"/>
      <c r="C893" s="35"/>
      <c r="D893" s="33"/>
      <c r="E893" s="31"/>
      <c r="F893" s="31"/>
      <c r="G893" s="37">
        <f>IF(F893="","",IF(ISNA(MATCH(F893,'Item master'!$A$2:$A$301,0)),"Not in Item master",IFERROR(INDEX('Item master'!$B$2:$B$301,MATCH(F893,'Item master'!$A$2:$A$301,0))&amp;"","")))</f>
      </c>
      <c r="H893" s="34"/>
      <c r="I893" s="31"/>
      <c r="J893" s="31"/>
      <c r="K893" s="33"/>
      <c r="L893" s="31"/>
      <c r="M893" s="35"/>
      <c r="N893" s="30"/>
      <c r="O893" s="30"/>
      <c r="P893" s="36"/>
      <c r="Q893" s="38">
        <f>IF(OR(C893&lt;&gt;"loan",E893=""),"",IF(ISNA(MATCH(E893,Units!$A$2:$A$501,0)),"",IF(INDEX(Units!$E$2:$E$501,MATCH(E893,Units!$A$2:$A$501,0))="","",IF(K893="","No due date",IF(INT(K893)&gt;INDEX(Units!$E$2:$E$501,MATCH(E893,Units!$A$2:$A$501,0)),"Past cal date","OK")))))</f>
      </c>
      <c r="R893" s="37">
        <f>IF(A893="Overdue",K893+ROW()/10000000,"")</f>
      </c>
    </row>
    <row r="894">
      <c r="A894" s="38">
        <f>IF(C894="","",IF(B894="","Needs ID",IF(OR(C894="loan",C894="send_out"),IF(COUNTIF($L$2:$L$1001,B894)&gt;0,"Closed",IF(K894="","Open",IF(K894&lt;NOW(),"Overdue","Open"))),IF(C894="return",IF(OR(L894="",COUNTIF($B$2:$B$1001,L894)=0),"No match",IF(OR(M894="worn",M894="damaged"),"Quarantine","Returned")),IF(C894="issue","Issued",IF(C894="transfer","Moved",IF(C894="write_off","Written off",IF(C894="unfilled","Unfilled",""))))))))</f>
      </c>
      <c r="B894" s="31"/>
      <c r="C894" s="35"/>
      <c r="D894" s="33"/>
      <c r="E894" s="31"/>
      <c r="F894" s="31"/>
      <c r="G894" s="37">
        <f>IF(F894="","",IF(ISNA(MATCH(F894,'Item master'!$A$2:$A$301,0)),"Not in Item master",IFERROR(INDEX('Item master'!$B$2:$B$301,MATCH(F894,'Item master'!$A$2:$A$301,0))&amp;"","")))</f>
      </c>
      <c r="H894" s="34"/>
      <c r="I894" s="31"/>
      <c r="J894" s="31"/>
      <c r="K894" s="33"/>
      <c r="L894" s="31"/>
      <c r="M894" s="35"/>
      <c r="N894" s="30"/>
      <c r="O894" s="30"/>
      <c r="P894" s="36"/>
      <c r="Q894" s="38">
        <f>IF(OR(C894&lt;&gt;"loan",E894=""),"",IF(ISNA(MATCH(E894,Units!$A$2:$A$501,0)),"",IF(INDEX(Units!$E$2:$E$501,MATCH(E894,Units!$A$2:$A$501,0))="","",IF(K894="","No due date",IF(INT(K894)&gt;INDEX(Units!$E$2:$E$501,MATCH(E894,Units!$A$2:$A$501,0)),"Past cal date","OK")))))</f>
      </c>
      <c r="R894" s="37">
        <f>IF(A894="Overdue",K894+ROW()/10000000,"")</f>
      </c>
    </row>
    <row r="895">
      <c r="A895" s="38">
        <f>IF(C895="","",IF(B895="","Needs ID",IF(OR(C895="loan",C895="send_out"),IF(COUNTIF($L$2:$L$1001,B895)&gt;0,"Closed",IF(K895="","Open",IF(K895&lt;NOW(),"Overdue","Open"))),IF(C895="return",IF(OR(L895="",COUNTIF($B$2:$B$1001,L895)=0),"No match",IF(OR(M895="worn",M895="damaged"),"Quarantine","Returned")),IF(C895="issue","Issued",IF(C895="transfer","Moved",IF(C895="write_off","Written off",IF(C895="unfilled","Unfilled",""))))))))</f>
      </c>
      <c r="B895" s="31"/>
      <c r="C895" s="35"/>
      <c r="D895" s="33"/>
      <c r="E895" s="31"/>
      <c r="F895" s="31"/>
      <c r="G895" s="37">
        <f>IF(F895="","",IF(ISNA(MATCH(F895,'Item master'!$A$2:$A$301,0)),"Not in Item master",IFERROR(INDEX('Item master'!$B$2:$B$301,MATCH(F895,'Item master'!$A$2:$A$301,0))&amp;"","")))</f>
      </c>
      <c r="H895" s="34"/>
      <c r="I895" s="31"/>
      <c r="J895" s="31"/>
      <c r="K895" s="33"/>
      <c r="L895" s="31"/>
      <c r="M895" s="35"/>
      <c r="N895" s="30"/>
      <c r="O895" s="30"/>
      <c r="P895" s="36"/>
      <c r="Q895" s="38">
        <f>IF(OR(C895&lt;&gt;"loan",E895=""),"",IF(ISNA(MATCH(E895,Units!$A$2:$A$501,0)),"",IF(INDEX(Units!$E$2:$E$501,MATCH(E895,Units!$A$2:$A$501,0))="","",IF(K895="","No due date",IF(INT(K895)&gt;INDEX(Units!$E$2:$E$501,MATCH(E895,Units!$A$2:$A$501,0)),"Past cal date","OK")))))</f>
      </c>
      <c r="R895" s="37">
        <f>IF(A895="Overdue",K895+ROW()/10000000,"")</f>
      </c>
    </row>
    <row r="896">
      <c r="A896" s="38">
        <f>IF(C896="","",IF(B896="","Needs ID",IF(OR(C896="loan",C896="send_out"),IF(COUNTIF($L$2:$L$1001,B896)&gt;0,"Closed",IF(K896="","Open",IF(K896&lt;NOW(),"Overdue","Open"))),IF(C896="return",IF(OR(L896="",COUNTIF($B$2:$B$1001,L896)=0),"No match",IF(OR(M896="worn",M896="damaged"),"Quarantine","Returned")),IF(C896="issue","Issued",IF(C896="transfer","Moved",IF(C896="write_off","Written off",IF(C896="unfilled","Unfilled",""))))))))</f>
      </c>
      <c r="B896" s="31"/>
      <c r="C896" s="35"/>
      <c r="D896" s="33"/>
      <c r="E896" s="31"/>
      <c r="F896" s="31"/>
      <c r="G896" s="37">
        <f>IF(F896="","",IF(ISNA(MATCH(F896,'Item master'!$A$2:$A$301,0)),"Not in Item master",IFERROR(INDEX('Item master'!$B$2:$B$301,MATCH(F896,'Item master'!$A$2:$A$301,0))&amp;"","")))</f>
      </c>
      <c r="H896" s="34"/>
      <c r="I896" s="31"/>
      <c r="J896" s="31"/>
      <c r="K896" s="33"/>
      <c r="L896" s="31"/>
      <c r="M896" s="35"/>
      <c r="N896" s="30"/>
      <c r="O896" s="30"/>
      <c r="P896" s="36"/>
      <c r="Q896" s="38">
        <f>IF(OR(C896&lt;&gt;"loan",E896=""),"",IF(ISNA(MATCH(E896,Units!$A$2:$A$501,0)),"",IF(INDEX(Units!$E$2:$E$501,MATCH(E896,Units!$A$2:$A$501,0))="","",IF(K896="","No due date",IF(INT(K896)&gt;INDEX(Units!$E$2:$E$501,MATCH(E896,Units!$A$2:$A$501,0)),"Past cal date","OK")))))</f>
      </c>
      <c r="R896" s="37">
        <f>IF(A896="Overdue",K896+ROW()/10000000,"")</f>
      </c>
    </row>
    <row r="897">
      <c r="A897" s="38">
        <f>IF(C897="","",IF(B897="","Needs ID",IF(OR(C897="loan",C897="send_out"),IF(COUNTIF($L$2:$L$1001,B897)&gt;0,"Closed",IF(K897="","Open",IF(K897&lt;NOW(),"Overdue","Open"))),IF(C897="return",IF(OR(L897="",COUNTIF($B$2:$B$1001,L897)=0),"No match",IF(OR(M897="worn",M897="damaged"),"Quarantine","Returned")),IF(C897="issue","Issued",IF(C897="transfer","Moved",IF(C897="write_off","Written off",IF(C897="unfilled","Unfilled",""))))))))</f>
      </c>
      <c r="B897" s="31"/>
      <c r="C897" s="35"/>
      <c r="D897" s="33"/>
      <c r="E897" s="31"/>
      <c r="F897" s="31"/>
      <c r="G897" s="37">
        <f>IF(F897="","",IF(ISNA(MATCH(F897,'Item master'!$A$2:$A$301,0)),"Not in Item master",IFERROR(INDEX('Item master'!$B$2:$B$301,MATCH(F897,'Item master'!$A$2:$A$301,0))&amp;"","")))</f>
      </c>
      <c r="H897" s="34"/>
      <c r="I897" s="31"/>
      <c r="J897" s="31"/>
      <c r="K897" s="33"/>
      <c r="L897" s="31"/>
      <c r="M897" s="35"/>
      <c r="N897" s="30"/>
      <c r="O897" s="30"/>
      <c r="P897" s="36"/>
      <c r="Q897" s="38">
        <f>IF(OR(C897&lt;&gt;"loan",E897=""),"",IF(ISNA(MATCH(E897,Units!$A$2:$A$501,0)),"",IF(INDEX(Units!$E$2:$E$501,MATCH(E897,Units!$A$2:$A$501,0))="","",IF(K897="","No due date",IF(INT(K897)&gt;INDEX(Units!$E$2:$E$501,MATCH(E897,Units!$A$2:$A$501,0)),"Past cal date","OK")))))</f>
      </c>
      <c r="R897" s="37">
        <f>IF(A897="Overdue",K897+ROW()/10000000,"")</f>
      </c>
    </row>
    <row r="898">
      <c r="A898" s="38">
        <f>IF(C898="","",IF(B898="","Needs ID",IF(OR(C898="loan",C898="send_out"),IF(COUNTIF($L$2:$L$1001,B898)&gt;0,"Closed",IF(K898="","Open",IF(K898&lt;NOW(),"Overdue","Open"))),IF(C898="return",IF(OR(L898="",COUNTIF($B$2:$B$1001,L898)=0),"No match",IF(OR(M898="worn",M898="damaged"),"Quarantine","Returned")),IF(C898="issue","Issued",IF(C898="transfer","Moved",IF(C898="write_off","Written off",IF(C898="unfilled","Unfilled",""))))))))</f>
      </c>
      <c r="B898" s="31"/>
      <c r="C898" s="35"/>
      <c r="D898" s="33"/>
      <c r="E898" s="31"/>
      <c r="F898" s="31"/>
      <c r="G898" s="37">
        <f>IF(F898="","",IF(ISNA(MATCH(F898,'Item master'!$A$2:$A$301,0)),"Not in Item master",IFERROR(INDEX('Item master'!$B$2:$B$301,MATCH(F898,'Item master'!$A$2:$A$301,0))&amp;"","")))</f>
      </c>
      <c r="H898" s="34"/>
      <c r="I898" s="31"/>
      <c r="J898" s="31"/>
      <c r="K898" s="33"/>
      <c r="L898" s="31"/>
      <c r="M898" s="35"/>
      <c r="N898" s="30"/>
      <c r="O898" s="30"/>
      <c r="P898" s="36"/>
      <c r="Q898" s="38">
        <f>IF(OR(C898&lt;&gt;"loan",E898=""),"",IF(ISNA(MATCH(E898,Units!$A$2:$A$501,0)),"",IF(INDEX(Units!$E$2:$E$501,MATCH(E898,Units!$A$2:$A$501,0))="","",IF(K898="","No due date",IF(INT(K898)&gt;INDEX(Units!$E$2:$E$501,MATCH(E898,Units!$A$2:$A$501,0)),"Past cal date","OK")))))</f>
      </c>
      <c r="R898" s="37">
        <f>IF(A898="Overdue",K898+ROW()/10000000,"")</f>
      </c>
    </row>
    <row r="899">
      <c r="A899" s="38">
        <f>IF(C899="","",IF(B899="","Needs ID",IF(OR(C899="loan",C899="send_out"),IF(COUNTIF($L$2:$L$1001,B899)&gt;0,"Closed",IF(K899="","Open",IF(K899&lt;NOW(),"Overdue","Open"))),IF(C899="return",IF(OR(L899="",COUNTIF($B$2:$B$1001,L899)=0),"No match",IF(OR(M899="worn",M899="damaged"),"Quarantine","Returned")),IF(C899="issue","Issued",IF(C899="transfer","Moved",IF(C899="write_off","Written off",IF(C899="unfilled","Unfilled",""))))))))</f>
      </c>
      <c r="B899" s="31"/>
      <c r="C899" s="35"/>
      <c r="D899" s="33"/>
      <c r="E899" s="31"/>
      <c r="F899" s="31"/>
      <c r="G899" s="37">
        <f>IF(F899="","",IF(ISNA(MATCH(F899,'Item master'!$A$2:$A$301,0)),"Not in Item master",IFERROR(INDEX('Item master'!$B$2:$B$301,MATCH(F899,'Item master'!$A$2:$A$301,0))&amp;"","")))</f>
      </c>
      <c r="H899" s="34"/>
      <c r="I899" s="31"/>
      <c r="J899" s="31"/>
      <c r="K899" s="33"/>
      <c r="L899" s="31"/>
      <c r="M899" s="35"/>
      <c r="N899" s="30"/>
      <c r="O899" s="30"/>
      <c r="P899" s="36"/>
      <c r="Q899" s="38">
        <f>IF(OR(C899&lt;&gt;"loan",E899=""),"",IF(ISNA(MATCH(E899,Units!$A$2:$A$501,0)),"",IF(INDEX(Units!$E$2:$E$501,MATCH(E899,Units!$A$2:$A$501,0))="","",IF(K899="","No due date",IF(INT(K899)&gt;INDEX(Units!$E$2:$E$501,MATCH(E899,Units!$A$2:$A$501,0)),"Past cal date","OK")))))</f>
      </c>
      <c r="R899" s="37">
        <f>IF(A899="Overdue",K899+ROW()/10000000,"")</f>
      </c>
    </row>
    <row r="900">
      <c r="A900" s="38">
        <f>IF(C900="","",IF(B900="","Needs ID",IF(OR(C900="loan",C900="send_out"),IF(COUNTIF($L$2:$L$1001,B900)&gt;0,"Closed",IF(K900="","Open",IF(K900&lt;NOW(),"Overdue","Open"))),IF(C900="return",IF(OR(L900="",COUNTIF($B$2:$B$1001,L900)=0),"No match",IF(OR(M900="worn",M900="damaged"),"Quarantine","Returned")),IF(C900="issue","Issued",IF(C900="transfer","Moved",IF(C900="write_off","Written off",IF(C900="unfilled","Unfilled",""))))))))</f>
      </c>
      <c r="B900" s="31"/>
      <c r="C900" s="35"/>
      <c r="D900" s="33"/>
      <c r="E900" s="31"/>
      <c r="F900" s="31"/>
      <c r="G900" s="37">
        <f>IF(F900="","",IF(ISNA(MATCH(F900,'Item master'!$A$2:$A$301,0)),"Not in Item master",IFERROR(INDEX('Item master'!$B$2:$B$301,MATCH(F900,'Item master'!$A$2:$A$301,0))&amp;"","")))</f>
      </c>
      <c r="H900" s="34"/>
      <c r="I900" s="31"/>
      <c r="J900" s="31"/>
      <c r="K900" s="33"/>
      <c r="L900" s="31"/>
      <c r="M900" s="35"/>
      <c r="N900" s="30"/>
      <c r="O900" s="30"/>
      <c r="P900" s="36"/>
      <c r="Q900" s="38">
        <f>IF(OR(C900&lt;&gt;"loan",E900=""),"",IF(ISNA(MATCH(E900,Units!$A$2:$A$501,0)),"",IF(INDEX(Units!$E$2:$E$501,MATCH(E900,Units!$A$2:$A$501,0))="","",IF(K900="","No due date",IF(INT(K900)&gt;INDEX(Units!$E$2:$E$501,MATCH(E900,Units!$A$2:$A$501,0)),"Past cal date","OK")))))</f>
      </c>
      <c r="R900" s="37">
        <f>IF(A900="Overdue",K900+ROW()/10000000,"")</f>
      </c>
    </row>
    <row r="901">
      <c r="A901" s="38">
        <f>IF(C901="","",IF(B901="","Needs ID",IF(OR(C901="loan",C901="send_out"),IF(COUNTIF($L$2:$L$1001,B901)&gt;0,"Closed",IF(K901="","Open",IF(K901&lt;NOW(),"Overdue","Open"))),IF(C901="return",IF(OR(L901="",COUNTIF($B$2:$B$1001,L901)=0),"No match",IF(OR(M901="worn",M901="damaged"),"Quarantine","Returned")),IF(C901="issue","Issued",IF(C901="transfer","Moved",IF(C901="write_off","Written off",IF(C901="unfilled","Unfilled",""))))))))</f>
      </c>
      <c r="B901" s="31"/>
      <c r="C901" s="35"/>
      <c r="D901" s="33"/>
      <c r="E901" s="31"/>
      <c r="F901" s="31"/>
      <c r="G901" s="37">
        <f>IF(F901="","",IF(ISNA(MATCH(F901,'Item master'!$A$2:$A$301,0)),"Not in Item master",IFERROR(INDEX('Item master'!$B$2:$B$301,MATCH(F901,'Item master'!$A$2:$A$301,0))&amp;"","")))</f>
      </c>
      <c r="H901" s="34"/>
      <c r="I901" s="31"/>
      <c r="J901" s="31"/>
      <c r="K901" s="33"/>
      <c r="L901" s="31"/>
      <c r="M901" s="35"/>
      <c r="N901" s="30"/>
      <c r="O901" s="30"/>
      <c r="P901" s="36"/>
      <c r="Q901" s="38">
        <f>IF(OR(C901&lt;&gt;"loan",E901=""),"",IF(ISNA(MATCH(E901,Units!$A$2:$A$501,0)),"",IF(INDEX(Units!$E$2:$E$501,MATCH(E901,Units!$A$2:$A$501,0))="","",IF(K901="","No due date",IF(INT(K901)&gt;INDEX(Units!$E$2:$E$501,MATCH(E901,Units!$A$2:$A$501,0)),"Past cal date","OK")))))</f>
      </c>
      <c r="R901" s="37">
        <f>IF(A901="Overdue",K901+ROW()/10000000,"")</f>
      </c>
    </row>
    <row r="902">
      <c r="A902" s="38">
        <f>IF(C902="","",IF(B902="","Needs ID",IF(OR(C902="loan",C902="send_out"),IF(COUNTIF($L$2:$L$1001,B902)&gt;0,"Closed",IF(K902="","Open",IF(K902&lt;NOW(),"Overdue","Open"))),IF(C902="return",IF(OR(L902="",COUNTIF($B$2:$B$1001,L902)=0),"No match",IF(OR(M902="worn",M902="damaged"),"Quarantine","Returned")),IF(C902="issue","Issued",IF(C902="transfer","Moved",IF(C902="write_off","Written off",IF(C902="unfilled","Unfilled",""))))))))</f>
      </c>
      <c r="B902" s="31"/>
      <c r="C902" s="35"/>
      <c r="D902" s="33"/>
      <c r="E902" s="31"/>
      <c r="F902" s="31"/>
      <c r="G902" s="37">
        <f>IF(F902="","",IF(ISNA(MATCH(F902,'Item master'!$A$2:$A$301,0)),"Not in Item master",IFERROR(INDEX('Item master'!$B$2:$B$301,MATCH(F902,'Item master'!$A$2:$A$301,0))&amp;"","")))</f>
      </c>
      <c r="H902" s="34"/>
      <c r="I902" s="31"/>
      <c r="J902" s="31"/>
      <c r="K902" s="33"/>
      <c r="L902" s="31"/>
      <c r="M902" s="35"/>
      <c r="N902" s="30"/>
      <c r="O902" s="30"/>
      <c r="P902" s="36"/>
      <c r="Q902" s="38">
        <f>IF(OR(C902&lt;&gt;"loan",E902=""),"",IF(ISNA(MATCH(E902,Units!$A$2:$A$501,0)),"",IF(INDEX(Units!$E$2:$E$501,MATCH(E902,Units!$A$2:$A$501,0))="","",IF(K902="","No due date",IF(INT(K902)&gt;INDEX(Units!$E$2:$E$501,MATCH(E902,Units!$A$2:$A$501,0)),"Past cal date","OK")))))</f>
      </c>
      <c r="R902" s="37">
        <f>IF(A902="Overdue",K902+ROW()/10000000,"")</f>
      </c>
    </row>
    <row r="903">
      <c r="A903" s="38">
        <f>IF(C903="","",IF(B903="","Needs ID",IF(OR(C903="loan",C903="send_out"),IF(COUNTIF($L$2:$L$1001,B903)&gt;0,"Closed",IF(K903="","Open",IF(K903&lt;NOW(),"Overdue","Open"))),IF(C903="return",IF(OR(L903="",COUNTIF($B$2:$B$1001,L903)=0),"No match",IF(OR(M903="worn",M903="damaged"),"Quarantine","Returned")),IF(C903="issue","Issued",IF(C903="transfer","Moved",IF(C903="write_off","Written off",IF(C903="unfilled","Unfilled",""))))))))</f>
      </c>
      <c r="B903" s="31"/>
      <c r="C903" s="35"/>
      <c r="D903" s="33"/>
      <c r="E903" s="31"/>
      <c r="F903" s="31"/>
      <c r="G903" s="37">
        <f>IF(F903="","",IF(ISNA(MATCH(F903,'Item master'!$A$2:$A$301,0)),"Not in Item master",IFERROR(INDEX('Item master'!$B$2:$B$301,MATCH(F903,'Item master'!$A$2:$A$301,0))&amp;"","")))</f>
      </c>
      <c r="H903" s="34"/>
      <c r="I903" s="31"/>
      <c r="J903" s="31"/>
      <c r="K903" s="33"/>
      <c r="L903" s="31"/>
      <c r="M903" s="35"/>
      <c r="N903" s="30"/>
      <c r="O903" s="30"/>
      <c r="P903" s="36"/>
      <c r="Q903" s="38">
        <f>IF(OR(C903&lt;&gt;"loan",E903=""),"",IF(ISNA(MATCH(E903,Units!$A$2:$A$501,0)),"",IF(INDEX(Units!$E$2:$E$501,MATCH(E903,Units!$A$2:$A$501,0))="","",IF(K903="","No due date",IF(INT(K903)&gt;INDEX(Units!$E$2:$E$501,MATCH(E903,Units!$A$2:$A$501,0)),"Past cal date","OK")))))</f>
      </c>
      <c r="R903" s="37">
        <f>IF(A903="Overdue",K903+ROW()/10000000,"")</f>
      </c>
    </row>
    <row r="904">
      <c r="A904" s="38">
        <f>IF(C904="","",IF(B904="","Needs ID",IF(OR(C904="loan",C904="send_out"),IF(COUNTIF($L$2:$L$1001,B904)&gt;0,"Closed",IF(K904="","Open",IF(K904&lt;NOW(),"Overdue","Open"))),IF(C904="return",IF(OR(L904="",COUNTIF($B$2:$B$1001,L904)=0),"No match",IF(OR(M904="worn",M904="damaged"),"Quarantine","Returned")),IF(C904="issue","Issued",IF(C904="transfer","Moved",IF(C904="write_off","Written off",IF(C904="unfilled","Unfilled",""))))))))</f>
      </c>
      <c r="B904" s="31"/>
      <c r="C904" s="35"/>
      <c r="D904" s="33"/>
      <c r="E904" s="31"/>
      <c r="F904" s="31"/>
      <c r="G904" s="37">
        <f>IF(F904="","",IF(ISNA(MATCH(F904,'Item master'!$A$2:$A$301,0)),"Not in Item master",IFERROR(INDEX('Item master'!$B$2:$B$301,MATCH(F904,'Item master'!$A$2:$A$301,0))&amp;"","")))</f>
      </c>
      <c r="H904" s="34"/>
      <c r="I904" s="31"/>
      <c r="J904" s="31"/>
      <c r="K904" s="33"/>
      <c r="L904" s="31"/>
      <c r="M904" s="35"/>
      <c r="N904" s="30"/>
      <c r="O904" s="30"/>
      <c r="P904" s="36"/>
      <c r="Q904" s="38">
        <f>IF(OR(C904&lt;&gt;"loan",E904=""),"",IF(ISNA(MATCH(E904,Units!$A$2:$A$501,0)),"",IF(INDEX(Units!$E$2:$E$501,MATCH(E904,Units!$A$2:$A$501,0))="","",IF(K904="","No due date",IF(INT(K904)&gt;INDEX(Units!$E$2:$E$501,MATCH(E904,Units!$A$2:$A$501,0)),"Past cal date","OK")))))</f>
      </c>
      <c r="R904" s="37">
        <f>IF(A904="Overdue",K904+ROW()/10000000,"")</f>
      </c>
    </row>
    <row r="905">
      <c r="A905" s="38">
        <f>IF(C905="","",IF(B905="","Needs ID",IF(OR(C905="loan",C905="send_out"),IF(COUNTIF($L$2:$L$1001,B905)&gt;0,"Closed",IF(K905="","Open",IF(K905&lt;NOW(),"Overdue","Open"))),IF(C905="return",IF(OR(L905="",COUNTIF($B$2:$B$1001,L905)=0),"No match",IF(OR(M905="worn",M905="damaged"),"Quarantine","Returned")),IF(C905="issue","Issued",IF(C905="transfer","Moved",IF(C905="write_off","Written off",IF(C905="unfilled","Unfilled",""))))))))</f>
      </c>
      <c r="B905" s="31"/>
      <c r="C905" s="35"/>
      <c r="D905" s="33"/>
      <c r="E905" s="31"/>
      <c r="F905" s="31"/>
      <c r="G905" s="37">
        <f>IF(F905="","",IF(ISNA(MATCH(F905,'Item master'!$A$2:$A$301,0)),"Not in Item master",IFERROR(INDEX('Item master'!$B$2:$B$301,MATCH(F905,'Item master'!$A$2:$A$301,0))&amp;"","")))</f>
      </c>
      <c r="H905" s="34"/>
      <c r="I905" s="31"/>
      <c r="J905" s="31"/>
      <c r="K905" s="33"/>
      <c r="L905" s="31"/>
      <c r="M905" s="35"/>
      <c r="N905" s="30"/>
      <c r="O905" s="30"/>
      <c r="P905" s="36"/>
      <c r="Q905" s="38">
        <f>IF(OR(C905&lt;&gt;"loan",E905=""),"",IF(ISNA(MATCH(E905,Units!$A$2:$A$501,0)),"",IF(INDEX(Units!$E$2:$E$501,MATCH(E905,Units!$A$2:$A$501,0))="","",IF(K905="","No due date",IF(INT(K905)&gt;INDEX(Units!$E$2:$E$501,MATCH(E905,Units!$A$2:$A$501,0)),"Past cal date","OK")))))</f>
      </c>
      <c r="R905" s="37">
        <f>IF(A905="Overdue",K905+ROW()/10000000,"")</f>
      </c>
    </row>
    <row r="906">
      <c r="A906" s="38">
        <f>IF(C906="","",IF(B906="","Needs ID",IF(OR(C906="loan",C906="send_out"),IF(COUNTIF($L$2:$L$1001,B906)&gt;0,"Closed",IF(K906="","Open",IF(K906&lt;NOW(),"Overdue","Open"))),IF(C906="return",IF(OR(L906="",COUNTIF($B$2:$B$1001,L906)=0),"No match",IF(OR(M906="worn",M906="damaged"),"Quarantine","Returned")),IF(C906="issue","Issued",IF(C906="transfer","Moved",IF(C906="write_off","Written off",IF(C906="unfilled","Unfilled",""))))))))</f>
      </c>
      <c r="B906" s="31"/>
      <c r="C906" s="35"/>
      <c r="D906" s="33"/>
      <c r="E906" s="31"/>
      <c r="F906" s="31"/>
      <c r="G906" s="37">
        <f>IF(F906="","",IF(ISNA(MATCH(F906,'Item master'!$A$2:$A$301,0)),"Not in Item master",IFERROR(INDEX('Item master'!$B$2:$B$301,MATCH(F906,'Item master'!$A$2:$A$301,0))&amp;"","")))</f>
      </c>
      <c r="H906" s="34"/>
      <c r="I906" s="31"/>
      <c r="J906" s="31"/>
      <c r="K906" s="33"/>
      <c r="L906" s="31"/>
      <c r="M906" s="35"/>
      <c r="N906" s="30"/>
      <c r="O906" s="30"/>
      <c r="P906" s="36"/>
      <c r="Q906" s="38">
        <f>IF(OR(C906&lt;&gt;"loan",E906=""),"",IF(ISNA(MATCH(E906,Units!$A$2:$A$501,0)),"",IF(INDEX(Units!$E$2:$E$501,MATCH(E906,Units!$A$2:$A$501,0))="","",IF(K906="","No due date",IF(INT(K906)&gt;INDEX(Units!$E$2:$E$501,MATCH(E906,Units!$A$2:$A$501,0)),"Past cal date","OK")))))</f>
      </c>
      <c r="R906" s="37">
        <f>IF(A906="Overdue",K906+ROW()/10000000,"")</f>
      </c>
    </row>
    <row r="907">
      <c r="A907" s="38">
        <f>IF(C907="","",IF(B907="","Needs ID",IF(OR(C907="loan",C907="send_out"),IF(COUNTIF($L$2:$L$1001,B907)&gt;0,"Closed",IF(K907="","Open",IF(K907&lt;NOW(),"Overdue","Open"))),IF(C907="return",IF(OR(L907="",COUNTIF($B$2:$B$1001,L907)=0),"No match",IF(OR(M907="worn",M907="damaged"),"Quarantine","Returned")),IF(C907="issue","Issued",IF(C907="transfer","Moved",IF(C907="write_off","Written off",IF(C907="unfilled","Unfilled",""))))))))</f>
      </c>
      <c r="B907" s="31"/>
      <c r="C907" s="35"/>
      <c r="D907" s="33"/>
      <c r="E907" s="31"/>
      <c r="F907" s="31"/>
      <c r="G907" s="37">
        <f>IF(F907="","",IF(ISNA(MATCH(F907,'Item master'!$A$2:$A$301,0)),"Not in Item master",IFERROR(INDEX('Item master'!$B$2:$B$301,MATCH(F907,'Item master'!$A$2:$A$301,0))&amp;"","")))</f>
      </c>
      <c r="H907" s="34"/>
      <c r="I907" s="31"/>
      <c r="J907" s="31"/>
      <c r="K907" s="33"/>
      <c r="L907" s="31"/>
      <c r="M907" s="35"/>
      <c r="N907" s="30"/>
      <c r="O907" s="30"/>
      <c r="P907" s="36"/>
      <c r="Q907" s="38">
        <f>IF(OR(C907&lt;&gt;"loan",E907=""),"",IF(ISNA(MATCH(E907,Units!$A$2:$A$501,0)),"",IF(INDEX(Units!$E$2:$E$501,MATCH(E907,Units!$A$2:$A$501,0))="","",IF(K907="","No due date",IF(INT(K907)&gt;INDEX(Units!$E$2:$E$501,MATCH(E907,Units!$A$2:$A$501,0)),"Past cal date","OK")))))</f>
      </c>
      <c r="R907" s="37">
        <f>IF(A907="Overdue",K907+ROW()/10000000,"")</f>
      </c>
    </row>
    <row r="908">
      <c r="A908" s="38">
        <f>IF(C908="","",IF(B908="","Needs ID",IF(OR(C908="loan",C908="send_out"),IF(COUNTIF($L$2:$L$1001,B908)&gt;0,"Closed",IF(K908="","Open",IF(K908&lt;NOW(),"Overdue","Open"))),IF(C908="return",IF(OR(L908="",COUNTIF($B$2:$B$1001,L908)=0),"No match",IF(OR(M908="worn",M908="damaged"),"Quarantine","Returned")),IF(C908="issue","Issued",IF(C908="transfer","Moved",IF(C908="write_off","Written off",IF(C908="unfilled","Unfilled",""))))))))</f>
      </c>
      <c r="B908" s="31"/>
      <c r="C908" s="35"/>
      <c r="D908" s="33"/>
      <c r="E908" s="31"/>
      <c r="F908" s="31"/>
      <c r="G908" s="37">
        <f>IF(F908="","",IF(ISNA(MATCH(F908,'Item master'!$A$2:$A$301,0)),"Not in Item master",IFERROR(INDEX('Item master'!$B$2:$B$301,MATCH(F908,'Item master'!$A$2:$A$301,0))&amp;"","")))</f>
      </c>
      <c r="H908" s="34"/>
      <c r="I908" s="31"/>
      <c r="J908" s="31"/>
      <c r="K908" s="33"/>
      <c r="L908" s="31"/>
      <c r="M908" s="35"/>
      <c r="N908" s="30"/>
      <c r="O908" s="30"/>
      <c r="P908" s="36"/>
      <c r="Q908" s="38">
        <f>IF(OR(C908&lt;&gt;"loan",E908=""),"",IF(ISNA(MATCH(E908,Units!$A$2:$A$501,0)),"",IF(INDEX(Units!$E$2:$E$501,MATCH(E908,Units!$A$2:$A$501,0))="","",IF(K908="","No due date",IF(INT(K908)&gt;INDEX(Units!$E$2:$E$501,MATCH(E908,Units!$A$2:$A$501,0)),"Past cal date","OK")))))</f>
      </c>
      <c r="R908" s="37">
        <f>IF(A908="Overdue",K908+ROW()/10000000,"")</f>
      </c>
    </row>
    <row r="909">
      <c r="A909" s="38">
        <f>IF(C909="","",IF(B909="","Needs ID",IF(OR(C909="loan",C909="send_out"),IF(COUNTIF($L$2:$L$1001,B909)&gt;0,"Closed",IF(K909="","Open",IF(K909&lt;NOW(),"Overdue","Open"))),IF(C909="return",IF(OR(L909="",COUNTIF($B$2:$B$1001,L909)=0),"No match",IF(OR(M909="worn",M909="damaged"),"Quarantine","Returned")),IF(C909="issue","Issued",IF(C909="transfer","Moved",IF(C909="write_off","Written off",IF(C909="unfilled","Unfilled",""))))))))</f>
      </c>
      <c r="B909" s="31"/>
      <c r="C909" s="35"/>
      <c r="D909" s="33"/>
      <c r="E909" s="31"/>
      <c r="F909" s="31"/>
      <c r="G909" s="37">
        <f>IF(F909="","",IF(ISNA(MATCH(F909,'Item master'!$A$2:$A$301,0)),"Not in Item master",IFERROR(INDEX('Item master'!$B$2:$B$301,MATCH(F909,'Item master'!$A$2:$A$301,0))&amp;"","")))</f>
      </c>
      <c r="H909" s="34"/>
      <c r="I909" s="31"/>
      <c r="J909" s="31"/>
      <c r="K909" s="33"/>
      <c r="L909" s="31"/>
      <c r="M909" s="35"/>
      <c r="N909" s="30"/>
      <c r="O909" s="30"/>
      <c r="P909" s="36"/>
      <c r="Q909" s="38">
        <f>IF(OR(C909&lt;&gt;"loan",E909=""),"",IF(ISNA(MATCH(E909,Units!$A$2:$A$501,0)),"",IF(INDEX(Units!$E$2:$E$501,MATCH(E909,Units!$A$2:$A$501,0))="","",IF(K909="","No due date",IF(INT(K909)&gt;INDEX(Units!$E$2:$E$501,MATCH(E909,Units!$A$2:$A$501,0)),"Past cal date","OK")))))</f>
      </c>
      <c r="R909" s="37">
        <f>IF(A909="Overdue",K909+ROW()/10000000,"")</f>
      </c>
    </row>
    <row r="910">
      <c r="A910" s="38">
        <f>IF(C910="","",IF(B910="","Needs ID",IF(OR(C910="loan",C910="send_out"),IF(COUNTIF($L$2:$L$1001,B910)&gt;0,"Closed",IF(K910="","Open",IF(K910&lt;NOW(),"Overdue","Open"))),IF(C910="return",IF(OR(L910="",COUNTIF($B$2:$B$1001,L910)=0),"No match",IF(OR(M910="worn",M910="damaged"),"Quarantine","Returned")),IF(C910="issue","Issued",IF(C910="transfer","Moved",IF(C910="write_off","Written off",IF(C910="unfilled","Unfilled",""))))))))</f>
      </c>
      <c r="B910" s="31"/>
      <c r="C910" s="35"/>
      <c r="D910" s="33"/>
      <c r="E910" s="31"/>
      <c r="F910" s="31"/>
      <c r="G910" s="37">
        <f>IF(F910="","",IF(ISNA(MATCH(F910,'Item master'!$A$2:$A$301,0)),"Not in Item master",IFERROR(INDEX('Item master'!$B$2:$B$301,MATCH(F910,'Item master'!$A$2:$A$301,0))&amp;"","")))</f>
      </c>
      <c r="H910" s="34"/>
      <c r="I910" s="31"/>
      <c r="J910" s="31"/>
      <c r="K910" s="33"/>
      <c r="L910" s="31"/>
      <c r="M910" s="35"/>
      <c r="N910" s="30"/>
      <c r="O910" s="30"/>
      <c r="P910" s="36"/>
      <c r="Q910" s="38">
        <f>IF(OR(C910&lt;&gt;"loan",E910=""),"",IF(ISNA(MATCH(E910,Units!$A$2:$A$501,0)),"",IF(INDEX(Units!$E$2:$E$501,MATCH(E910,Units!$A$2:$A$501,0))="","",IF(K910="","No due date",IF(INT(K910)&gt;INDEX(Units!$E$2:$E$501,MATCH(E910,Units!$A$2:$A$501,0)),"Past cal date","OK")))))</f>
      </c>
      <c r="R910" s="37">
        <f>IF(A910="Overdue",K910+ROW()/10000000,"")</f>
      </c>
    </row>
    <row r="911">
      <c r="A911" s="38">
        <f>IF(C911="","",IF(B911="","Needs ID",IF(OR(C911="loan",C911="send_out"),IF(COUNTIF($L$2:$L$1001,B911)&gt;0,"Closed",IF(K911="","Open",IF(K911&lt;NOW(),"Overdue","Open"))),IF(C911="return",IF(OR(L911="",COUNTIF($B$2:$B$1001,L911)=0),"No match",IF(OR(M911="worn",M911="damaged"),"Quarantine","Returned")),IF(C911="issue","Issued",IF(C911="transfer","Moved",IF(C911="write_off","Written off",IF(C911="unfilled","Unfilled",""))))))))</f>
      </c>
      <c r="B911" s="31"/>
      <c r="C911" s="35"/>
      <c r="D911" s="33"/>
      <c r="E911" s="31"/>
      <c r="F911" s="31"/>
      <c r="G911" s="37">
        <f>IF(F911="","",IF(ISNA(MATCH(F911,'Item master'!$A$2:$A$301,0)),"Not in Item master",IFERROR(INDEX('Item master'!$B$2:$B$301,MATCH(F911,'Item master'!$A$2:$A$301,0))&amp;"","")))</f>
      </c>
      <c r="H911" s="34"/>
      <c r="I911" s="31"/>
      <c r="J911" s="31"/>
      <c r="K911" s="33"/>
      <c r="L911" s="31"/>
      <c r="M911" s="35"/>
      <c r="N911" s="30"/>
      <c r="O911" s="30"/>
      <c r="P911" s="36"/>
      <c r="Q911" s="38">
        <f>IF(OR(C911&lt;&gt;"loan",E911=""),"",IF(ISNA(MATCH(E911,Units!$A$2:$A$501,0)),"",IF(INDEX(Units!$E$2:$E$501,MATCH(E911,Units!$A$2:$A$501,0))="","",IF(K911="","No due date",IF(INT(K911)&gt;INDEX(Units!$E$2:$E$501,MATCH(E911,Units!$A$2:$A$501,0)),"Past cal date","OK")))))</f>
      </c>
      <c r="R911" s="37">
        <f>IF(A911="Overdue",K911+ROW()/10000000,"")</f>
      </c>
    </row>
    <row r="912">
      <c r="A912" s="38">
        <f>IF(C912="","",IF(B912="","Needs ID",IF(OR(C912="loan",C912="send_out"),IF(COUNTIF($L$2:$L$1001,B912)&gt;0,"Closed",IF(K912="","Open",IF(K912&lt;NOW(),"Overdue","Open"))),IF(C912="return",IF(OR(L912="",COUNTIF($B$2:$B$1001,L912)=0),"No match",IF(OR(M912="worn",M912="damaged"),"Quarantine","Returned")),IF(C912="issue","Issued",IF(C912="transfer","Moved",IF(C912="write_off","Written off",IF(C912="unfilled","Unfilled",""))))))))</f>
      </c>
      <c r="B912" s="31"/>
      <c r="C912" s="35"/>
      <c r="D912" s="33"/>
      <c r="E912" s="31"/>
      <c r="F912" s="31"/>
      <c r="G912" s="37">
        <f>IF(F912="","",IF(ISNA(MATCH(F912,'Item master'!$A$2:$A$301,0)),"Not in Item master",IFERROR(INDEX('Item master'!$B$2:$B$301,MATCH(F912,'Item master'!$A$2:$A$301,0))&amp;"","")))</f>
      </c>
      <c r="H912" s="34"/>
      <c r="I912" s="31"/>
      <c r="J912" s="31"/>
      <c r="K912" s="33"/>
      <c r="L912" s="31"/>
      <c r="M912" s="35"/>
      <c r="N912" s="30"/>
      <c r="O912" s="30"/>
      <c r="P912" s="36"/>
      <c r="Q912" s="38">
        <f>IF(OR(C912&lt;&gt;"loan",E912=""),"",IF(ISNA(MATCH(E912,Units!$A$2:$A$501,0)),"",IF(INDEX(Units!$E$2:$E$501,MATCH(E912,Units!$A$2:$A$501,0))="","",IF(K912="","No due date",IF(INT(K912)&gt;INDEX(Units!$E$2:$E$501,MATCH(E912,Units!$A$2:$A$501,0)),"Past cal date","OK")))))</f>
      </c>
      <c r="R912" s="37">
        <f>IF(A912="Overdue",K912+ROW()/10000000,"")</f>
      </c>
    </row>
    <row r="913">
      <c r="A913" s="38">
        <f>IF(C913="","",IF(B913="","Needs ID",IF(OR(C913="loan",C913="send_out"),IF(COUNTIF($L$2:$L$1001,B913)&gt;0,"Closed",IF(K913="","Open",IF(K913&lt;NOW(),"Overdue","Open"))),IF(C913="return",IF(OR(L913="",COUNTIF($B$2:$B$1001,L913)=0),"No match",IF(OR(M913="worn",M913="damaged"),"Quarantine","Returned")),IF(C913="issue","Issued",IF(C913="transfer","Moved",IF(C913="write_off","Written off",IF(C913="unfilled","Unfilled",""))))))))</f>
      </c>
      <c r="B913" s="31"/>
      <c r="C913" s="35"/>
      <c r="D913" s="33"/>
      <c r="E913" s="31"/>
      <c r="F913" s="31"/>
      <c r="G913" s="37">
        <f>IF(F913="","",IF(ISNA(MATCH(F913,'Item master'!$A$2:$A$301,0)),"Not in Item master",IFERROR(INDEX('Item master'!$B$2:$B$301,MATCH(F913,'Item master'!$A$2:$A$301,0))&amp;"","")))</f>
      </c>
      <c r="H913" s="34"/>
      <c r="I913" s="31"/>
      <c r="J913" s="31"/>
      <c r="K913" s="33"/>
      <c r="L913" s="31"/>
      <c r="M913" s="35"/>
      <c r="N913" s="30"/>
      <c r="O913" s="30"/>
      <c r="P913" s="36"/>
      <c r="Q913" s="38">
        <f>IF(OR(C913&lt;&gt;"loan",E913=""),"",IF(ISNA(MATCH(E913,Units!$A$2:$A$501,0)),"",IF(INDEX(Units!$E$2:$E$501,MATCH(E913,Units!$A$2:$A$501,0))="","",IF(K913="","No due date",IF(INT(K913)&gt;INDEX(Units!$E$2:$E$501,MATCH(E913,Units!$A$2:$A$501,0)),"Past cal date","OK")))))</f>
      </c>
      <c r="R913" s="37">
        <f>IF(A913="Overdue",K913+ROW()/10000000,"")</f>
      </c>
    </row>
    <row r="914">
      <c r="A914" s="38">
        <f>IF(C914="","",IF(B914="","Needs ID",IF(OR(C914="loan",C914="send_out"),IF(COUNTIF($L$2:$L$1001,B914)&gt;0,"Closed",IF(K914="","Open",IF(K914&lt;NOW(),"Overdue","Open"))),IF(C914="return",IF(OR(L914="",COUNTIF($B$2:$B$1001,L914)=0),"No match",IF(OR(M914="worn",M914="damaged"),"Quarantine","Returned")),IF(C914="issue","Issued",IF(C914="transfer","Moved",IF(C914="write_off","Written off",IF(C914="unfilled","Unfilled",""))))))))</f>
      </c>
      <c r="B914" s="31"/>
      <c r="C914" s="35"/>
      <c r="D914" s="33"/>
      <c r="E914" s="31"/>
      <c r="F914" s="31"/>
      <c r="G914" s="37">
        <f>IF(F914="","",IF(ISNA(MATCH(F914,'Item master'!$A$2:$A$301,0)),"Not in Item master",IFERROR(INDEX('Item master'!$B$2:$B$301,MATCH(F914,'Item master'!$A$2:$A$301,0))&amp;"","")))</f>
      </c>
      <c r="H914" s="34"/>
      <c r="I914" s="31"/>
      <c r="J914" s="31"/>
      <c r="K914" s="33"/>
      <c r="L914" s="31"/>
      <c r="M914" s="35"/>
      <c r="N914" s="30"/>
      <c r="O914" s="30"/>
      <c r="P914" s="36"/>
      <c r="Q914" s="38">
        <f>IF(OR(C914&lt;&gt;"loan",E914=""),"",IF(ISNA(MATCH(E914,Units!$A$2:$A$501,0)),"",IF(INDEX(Units!$E$2:$E$501,MATCH(E914,Units!$A$2:$A$501,0))="","",IF(K914="","No due date",IF(INT(K914)&gt;INDEX(Units!$E$2:$E$501,MATCH(E914,Units!$A$2:$A$501,0)),"Past cal date","OK")))))</f>
      </c>
      <c r="R914" s="37">
        <f>IF(A914="Overdue",K914+ROW()/10000000,"")</f>
      </c>
    </row>
    <row r="915">
      <c r="A915" s="38">
        <f>IF(C915="","",IF(B915="","Needs ID",IF(OR(C915="loan",C915="send_out"),IF(COUNTIF($L$2:$L$1001,B915)&gt;0,"Closed",IF(K915="","Open",IF(K915&lt;NOW(),"Overdue","Open"))),IF(C915="return",IF(OR(L915="",COUNTIF($B$2:$B$1001,L915)=0),"No match",IF(OR(M915="worn",M915="damaged"),"Quarantine","Returned")),IF(C915="issue","Issued",IF(C915="transfer","Moved",IF(C915="write_off","Written off",IF(C915="unfilled","Unfilled",""))))))))</f>
      </c>
      <c r="B915" s="31"/>
      <c r="C915" s="35"/>
      <c r="D915" s="33"/>
      <c r="E915" s="31"/>
      <c r="F915" s="31"/>
      <c r="G915" s="37">
        <f>IF(F915="","",IF(ISNA(MATCH(F915,'Item master'!$A$2:$A$301,0)),"Not in Item master",IFERROR(INDEX('Item master'!$B$2:$B$301,MATCH(F915,'Item master'!$A$2:$A$301,0))&amp;"","")))</f>
      </c>
      <c r="H915" s="34"/>
      <c r="I915" s="31"/>
      <c r="J915" s="31"/>
      <c r="K915" s="33"/>
      <c r="L915" s="31"/>
      <c r="M915" s="35"/>
      <c r="N915" s="30"/>
      <c r="O915" s="30"/>
      <c r="P915" s="36"/>
      <c r="Q915" s="38">
        <f>IF(OR(C915&lt;&gt;"loan",E915=""),"",IF(ISNA(MATCH(E915,Units!$A$2:$A$501,0)),"",IF(INDEX(Units!$E$2:$E$501,MATCH(E915,Units!$A$2:$A$501,0))="","",IF(K915="","No due date",IF(INT(K915)&gt;INDEX(Units!$E$2:$E$501,MATCH(E915,Units!$A$2:$A$501,0)),"Past cal date","OK")))))</f>
      </c>
      <c r="R915" s="37">
        <f>IF(A915="Overdue",K915+ROW()/10000000,"")</f>
      </c>
    </row>
    <row r="916">
      <c r="A916" s="38">
        <f>IF(C916="","",IF(B916="","Needs ID",IF(OR(C916="loan",C916="send_out"),IF(COUNTIF($L$2:$L$1001,B916)&gt;0,"Closed",IF(K916="","Open",IF(K916&lt;NOW(),"Overdue","Open"))),IF(C916="return",IF(OR(L916="",COUNTIF($B$2:$B$1001,L916)=0),"No match",IF(OR(M916="worn",M916="damaged"),"Quarantine","Returned")),IF(C916="issue","Issued",IF(C916="transfer","Moved",IF(C916="write_off","Written off",IF(C916="unfilled","Unfilled",""))))))))</f>
      </c>
      <c r="B916" s="31"/>
      <c r="C916" s="35"/>
      <c r="D916" s="33"/>
      <c r="E916" s="31"/>
      <c r="F916" s="31"/>
      <c r="G916" s="37">
        <f>IF(F916="","",IF(ISNA(MATCH(F916,'Item master'!$A$2:$A$301,0)),"Not in Item master",IFERROR(INDEX('Item master'!$B$2:$B$301,MATCH(F916,'Item master'!$A$2:$A$301,0))&amp;"","")))</f>
      </c>
      <c r="H916" s="34"/>
      <c r="I916" s="31"/>
      <c r="J916" s="31"/>
      <c r="K916" s="33"/>
      <c r="L916" s="31"/>
      <c r="M916" s="35"/>
      <c r="N916" s="30"/>
      <c r="O916" s="30"/>
      <c r="P916" s="36"/>
      <c r="Q916" s="38">
        <f>IF(OR(C916&lt;&gt;"loan",E916=""),"",IF(ISNA(MATCH(E916,Units!$A$2:$A$501,0)),"",IF(INDEX(Units!$E$2:$E$501,MATCH(E916,Units!$A$2:$A$501,0))="","",IF(K916="","No due date",IF(INT(K916)&gt;INDEX(Units!$E$2:$E$501,MATCH(E916,Units!$A$2:$A$501,0)),"Past cal date","OK")))))</f>
      </c>
      <c r="R916" s="37">
        <f>IF(A916="Overdue",K916+ROW()/10000000,"")</f>
      </c>
    </row>
    <row r="917">
      <c r="A917" s="38">
        <f>IF(C917="","",IF(B917="","Needs ID",IF(OR(C917="loan",C917="send_out"),IF(COUNTIF($L$2:$L$1001,B917)&gt;0,"Closed",IF(K917="","Open",IF(K917&lt;NOW(),"Overdue","Open"))),IF(C917="return",IF(OR(L917="",COUNTIF($B$2:$B$1001,L917)=0),"No match",IF(OR(M917="worn",M917="damaged"),"Quarantine","Returned")),IF(C917="issue","Issued",IF(C917="transfer","Moved",IF(C917="write_off","Written off",IF(C917="unfilled","Unfilled",""))))))))</f>
      </c>
      <c r="B917" s="31"/>
      <c r="C917" s="35"/>
      <c r="D917" s="33"/>
      <c r="E917" s="31"/>
      <c r="F917" s="31"/>
      <c r="G917" s="37">
        <f>IF(F917="","",IF(ISNA(MATCH(F917,'Item master'!$A$2:$A$301,0)),"Not in Item master",IFERROR(INDEX('Item master'!$B$2:$B$301,MATCH(F917,'Item master'!$A$2:$A$301,0))&amp;"","")))</f>
      </c>
      <c r="H917" s="34"/>
      <c r="I917" s="31"/>
      <c r="J917" s="31"/>
      <c r="K917" s="33"/>
      <c r="L917" s="31"/>
      <c r="M917" s="35"/>
      <c r="N917" s="30"/>
      <c r="O917" s="30"/>
      <c r="P917" s="36"/>
      <c r="Q917" s="38">
        <f>IF(OR(C917&lt;&gt;"loan",E917=""),"",IF(ISNA(MATCH(E917,Units!$A$2:$A$501,0)),"",IF(INDEX(Units!$E$2:$E$501,MATCH(E917,Units!$A$2:$A$501,0))="","",IF(K917="","No due date",IF(INT(K917)&gt;INDEX(Units!$E$2:$E$501,MATCH(E917,Units!$A$2:$A$501,0)),"Past cal date","OK")))))</f>
      </c>
      <c r="R917" s="37">
        <f>IF(A917="Overdue",K917+ROW()/10000000,"")</f>
      </c>
    </row>
    <row r="918">
      <c r="A918" s="38">
        <f>IF(C918="","",IF(B918="","Needs ID",IF(OR(C918="loan",C918="send_out"),IF(COUNTIF($L$2:$L$1001,B918)&gt;0,"Closed",IF(K918="","Open",IF(K918&lt;NOW(),"Overdue","Open"))),IF(C918="return",IF(OR(L918="",COUNTIF($B$2:$B$1001,L918)=0),"No match",IF(OR(M918="worn",M918="damaged"),"Quarantine","Returned")),IF(C918="issue","Issued",IF(C918="transfer","Moved",IF(C918="write_off","Written off",IF(C918="unfilled","Unfilled",""))))))))</f>
      </c>
      <c r="B918" s="31"/>
      <c r="C918" s="35"/>
      <c r="D918" s="33"/>
      <c r="E918" s="31"/>
      <c r="F918" s="31"/>
      <c r="G918" s="37">
        <f>IF(F918="","",IF(ISNA(MATCH(F918,'Item master'!$A$2:$A$301,0)),"Not in Item master",IFERROR(INDEX('Item master'!$B$2:$B$301,MATCH(F918,'Item master'!$A$2:$A$301,0))&amp;"","")))</f>
      </c>
      <c r="H918" s="34"/>
      <c r="I918" s="31"/>
      <c r="J918" s="31"/>
      <c r="K918" s="33"/>
      <c r="L918" s="31"/>
      <c r="M918" s="35"/>
      <c r="N918" s="30"/>
      <c r="O918" s="30"/>
      <c r="P918" s="36"/>
      <c r="Q918" s="38">
        <f>IF(OR(C918&lt;&gt;"loan",E918=""),"",IF(ISNA(MATCH(E918,Units!$A$2:$A$501,0)),"",IF(INDEX(Units!$E$2:$E$501,MATCH(E918,Units!$A$2:$A$501,0))="","",IF(K918="","No due date",IF(INT(K918)&gt;INDEX(Units!$E$2:$E$501,MATCH(E918,Units!$A$2:$A$501,0)),"Past cal date","OK")))))</f>
      </c>
      <c r="R918" s="37">
        <f>IF(A918="Overdue",K918+ROW()/10000000,"")</f>
      </c>
    </row>
    <row r="919">
      <c r="A919" s="38">
        <f>IF(C919="","",IF(B919="","Needs ID",IF(OR(C919="loan",C919="send_out"),IF(COUNTIF($L$2:$L$1001,B919)&gt;0,"Closed",IF(K919="","Open",IF(K919&lt;NOW(),"Overdue","Open"))),IF(C919="return",IF(OR(L919="",COUNTIF($B$2:$B$1001,L919)=0),"No match",IF(OR(M919="worn",M919="damaged"),"Quarantine","Returned")),IF(C919="issue","Issued",IF(C919="transfer","Moved",IF(C919="write_off","Written off",IF(C919="unfilled","Unfilled",""))))))))</f>
      </c>
      <c r="B919" s="31"/>
      <c r="C919" s="35"/>
      <c r="D919" s="33"/>
      <c r="E919" s="31"/>
      <c r="F919" s="31"/>
      <c r="G919" s="37">
        <f>IF(F919="","",IF(ISNA(MATCH(F919,'Item master'!$A$2:$A$301,0)),"Not in Item master",IFERROR(INDEX('Item master'!$B$2:$B$301,MATCH(F919,'Item master'!$A$2:$A$301,0))&amp;"","")))</f>
      </c>
      <c r="H919" s="34"/>
      <c r="I919" s="31"/>
      <c r="J919" s="31"/>
      <c r="K919" s="33"/>
      <c r="L919" s="31"/>
      <c r="M919" s="35"/>
      <c r="N919" s="30"/>
      <c r="O919" s="30"/>
      <c r="P919" s="36"/>
      <c r="Q919" s="38">
        <f>IF(OR(C919&lt;&gt;"loan",E919=""),"",IF(ISNA(MATCH(E919,Units!$A$2:$A$501,0)),"",IF(INDEX(Units!$E$2:$E$501,MATCH(E919,Units!$A$2:$A$501,0))="","",IF(K919="","No due date",IF(INT(K919)&gt;INDEX(Units!$E$2:$E$501,MATCH(E919,Units!$A$2:$A$501,0)),"Past cal date","OK")))))</f>
      </c>
      <c r="R919" s="37">
        <f>IF(A919="Overdue",K919+ROW()/10000000,"")</f>
      </c>
    </row>
    <row r="920">
      <c r="A920" s="38">
        <f>IF(C920="","",IF(B920="","Needs ID",IF(OR(C920="loan",C920="send_out"),IF(COUNTIF($L$2:$L$1001,B920)&gt;0,"Closed",IF(K920="","Open",IF(K920&lt;NOW(),"Overdue","Open"))),IF(C920="return",IF(OR(L920="",COUNTIF($B$2:$B$1001,L920)=0),"No match",IF(OR(M920="worn",M920="damaged"),"Quarantine","Returned")),IF(C920="issue","Issued",IF(C920="transfer","Moved",IF(C920="write_off","Written off",IF(C920="unfilled","Unfilled",""))))))))</f>
      </c>
      <c r="B920" s="31"/>
      <c r="C920" s="35"/>
      <c r="D920" s="33"/>
      <c r="E920" s="31"/>
      <c r="F920" s="31"/>
      <c r="G920" s="37">
        <f>IF(F920="","",IF(ISNA(MATCH(F920,'Item master'!$A$2:$A$301,0)),"Not in Item master",IFERROR(INDEX('Item master'!$B$2:$B$301,MATCH(F920,'Item master'!$A$2:$A$301,0))&amp;"","")))</f>
      </c>
      <c r="H920" s="34"/>
      <c r="I920" s="31"/>
      <c r="J920" s="31"/>
      <c r="K920" s="33"/>
      <c r="L920" s="31"/>
      <c r="M920" s="35"/>
      <c r="N920" s="30"/>
      <c r="O920" s="30"/>
      <c r="P920" s="36"/>
      <c r="Q920" s="38">
        <f>IF(OR(C920&lt;&gt;"loan",E920=""),"",IF(ISNA(MATCH(E920,Units!$A$2:$A$501,0)),"",IF(INDEX(Units!$E$2:$E$501,MATCH(E920,Units!$A$2:$A$501,0))="","",IF(K920="","No due date",IF(INT(K920)&gt;INDEX(Units!$E$2:$E$501,MATCH(E920,Units!$A$2:$A$501,0)),"Past cal date","OK")))))</f>
      </c>
      <c r="R920" s="37">
        <f>IF(A920="Overdue",K920+ROW()/10000000,"")</f>
      </c>
    </row>
    <row r="921">
      <c r="A921" s="38">
        <f>IF(C921="","",IF(B921="","Needs ID",IF(OR(C921="loan",C921="send_out"),IF(COUNTIF($L$2:$L$1001,B921)&gt;0,"Closed",IF(K921="","Open",IF(K921&lt;NOW(),"Overdue","Open"))),IF(C921="return",IF(OR(L921="",COUNTIF($B$2:$B$1001,L921)=0),"No match",IF(OR(M921="worn",M921="damaged"),"Quarantine","Returned")),IF(C921="issue","Issued",IF(C921="transfer","Moved",IF(C921="write_off","Written off",IF(C921="unfilled","Unfilled",""))))))))</f>
      </c>
      <c r="B921" s="31"/>
      <c r="C921" s="35"/>
      <c r="D921" s="33"/>
      <c r="E921" s="31"/>
      <c r="F921" s="31"/>
      <c r="G921" s="37">
        <f>IF(F921="","",IF(ISNA(MATCH(F921,'Item master'!$A$2:$A$301,0)),"Not in Item master",IFERROR(INDEX('Item master'!$B$2:$B$301,MATCH(F921,'Item master'!$A$2:$A$301,0))&amp;"","")))</f>
      </c>
      <c r="H921" s="34"/>
      <c r="I921" s="31"/>
      <c r="J921" s="31"/>
      <c r="K921" s="33"/>
      <c r="L921" s="31"/>
      <c r="M921" s="35"/>
      <c r="N921" s="30"/>
      <c r="O921" s="30"/>
      <c r="P921" s="36"/>
      <c r="Q921" s="38">
        <f>IF(OR(C921&lt;&gt;"loan",E921=""),"",IF(ISNA(MATCH(E921,Units!$A$2:$A$501,0)),"",IF(INDEX(Units!$E$2:$E$501,MATCH(E921,Units!$A$2:$A$501,0))="","",IF(K921="","No due date",IF(INT(K921)&gt;INDEX(Units!$E$2:$E$501,MATCH(E921,Units!$A$2:$A$501,0)),"Past cal date","OK")))))</f>
      </c>
      <c r="R921" s="37">
        <f>IF(A921="Overdue",K921+ROW()/10000000,"")</f>
      </c>
    </row>
    <row r="922">
      <c r="A922" s="38">
        <f>IF(C922="","",IF(B922="","Needs ID",IF(OR(C922="loan",C922="send_out"),IF(COUNTIF($L$2:$L$1001,B922)&gt;0,"Closed",IF(K922="","Open",IF(K922&lt;NOW(),"Overdue","Open"))),IF(C922="return",IF(OR(L922="",COUNTIF($B$2:$B$1001,L922)=0),"No match",IF(OR(M922="worn",M922="damaged"),"Quarantine","Returned")),IF(C922="issue","Issued",IF(C922="transfer","Moved",IF(C922="write_off","Written off",IF(C922="unfilled","Unfilled",""))))))))</f>
      </c>
      <c r="B922" s="31"/>
      <c r="C922" s="35"/>
      <c r="D922" s="33"/>
      <c r="E922" s="31"/>
      <c r="F922" s="31"/>
      <c r="G922" s="37">
        <f>IF(F922="","",IF(ISNA(MATCH(F922,'Item master'!$A$2:$A$301,0)),"Not in Item master",IFERROR(INDEX('Item master'!$B$2:$B$301,MATCH(F922,'Item master'!$A$2:$A$301,0))&amp;"","")))</f>
      </c>
      <c r="H922" s="34"/>
      <c r="I922" s="31"/>
      <c r="J922" s="31"/>
      <c r="K922" s="33"/>
      <c r="L922" s="31"/>
      <c r="M922" s="35"/>
      <c r="N922" s="30"/>
      <c r="O922" s="30"/>
      <c r="P922" s="36"/>
      <c r="Q922" s="38">
        <f>IF(OR(C922&lt;&gt;"loan",E922=""),"",IF(ISNA(MATCH(E922,Units!$A$2:$A$501,0)),"",IF(INDEX(Units!$E$2:$E$501,MATCH(E922,Units!$A$2:$A$501,0))="","",IF(K922="","No due date",IF(INT(K922)&gt;INDEX(Units!$E$2:$E$501,MATCH(E922,Units!$A$2:$A$501,0)),"Past cal date","OK")))))</f>
      </c>
      <c r="R922" s="37">
        <f>IF(A922="Overdue",K922+ROW()/10000000,"")</f>
      </c>
    </row>
    <row r="923">
      <c r="A923" s="38">
        <f>IF(C923="","",IF(B923="","Needs ID",IF(OR(C923="loan",C923="send_out"),IF(COUNTIF($L$2:$L$1001,B923)&gt;0,"Closed",IF(K923="","Open",IF(K923&lt;NOW(),"Overdue","Open"))),IF(C923="return",IF(OR(L923="",COUNTIF($B$2:$B$1001,L923)=0),"No match",IF(OR(M923="worn",M923="damaged"),"Quarantine","Returned")),IF(C923="issue","Issued",IF(C923="transfer","Moved",IF(C923="write_off","Written off",IF(C923="unfilled","Unfilled",""))))))))</f>
      </c>
      <c r="B923" s="31"/>
      <c r="C923" s="35"/>
      <c r="D923" s="33"/>
      <c r="E923" s="31"/>
      <c r="F923" s="31"/>
      <c r="G923" s="37">
        <f>IF(F923="","",IF(ISNA(MATCH(F923,'Item master'!$A$2:$A$301,0)),"Not in Item master",IFERROR(INDEX('Item master'!$B$2:$B$301,MATCH(F923,'Item master'!$A$2:$A$301,0))&amp;"","")))</f>
      </c>
      <c r="H923" s="34"/>
      <c r="I923" s="31"/>
      <c r="J923" s="31"/>
      <c r="K923" s="33"/>
      <c r="L923" s="31"/>
      <c r="M923" s="35"/>
      <c r="N923" s="30"/>
      <c r="O923" s="30"/>
      <c r="P923" s="36"/>
      <c r="Q923" s="38">
        <f>IF(OR(C923&lt;&gt;"loan",E923=""),"",IF(ISNA(MATCH(E923,Units!$A$2:$A$501,0)),"",IF(INDEX(Units!$E$2:$E$501,MATCH(E923,Units!$A$2:$A$501,0))="","",IF(K923="","No due date",IF(INT(K923)&gt;INDEX(Units!$E$2:$E$501,MATCH(E923,Units!$A$2:$A$501,0)),"Past cal date","OK")))))</f>
      </c>
      <c r="R923" s="37">
        <f>IF(A923="Overdue",K923+ROW()/10000000,"")</f>
      </c>
    </row>
    <row r="924">
      <c r="A924" s="38">
        <f>IF(C924="","",IF(B924="","Needs ID",IF(OR(C924="loan",C924="send_out"),IF(COUNTIF($L$2:$L$1001,B924)&gt;0,"Closed",IF(K924="","Open",IF(K924&lt;NOW(),"Overdue","Open"))),IF(C924="return",IF(OR(L924="",COUNTIF($B$2:$B$1001,L924)=0),"No match",IF(OR(M924="worn",M924="damaged"),"Quarantine","Returned")),IF(C924="issue","Issued",IF(C924="transfer","Moved",IF(C924="write_off","Written off",IF(C924="unfilled","Unfilled",""))))))))</f>
      </c>
      <c r="B924" s="31"/>
      <c r="C924" s="35"/>
      <c r="D924" s="33"/>
      <c r="E924" s="31"/>
      <c r="F924" s="31"/>
      <c r="G924" s="37">
        <f>IF(F924="","",IF(ISNA(MATCH(F924,'Item master'!$A$2:$A$301,0)),"Not in Item master",IFERROR(INDEX('Item master'!$B$2:$B$301,MATCH(F924,'Item master'!$A$2:$A$301,0))&amp;"","")))</f>
      </c>
      <c r="H924" s="34"/>
      <c r="I924" s="31"/>
      <c r="J924" s="31"/>
      <c r="K924" s="33"/>
      <c r="L924" s="31"/>
      <c r="M924" s="35"/>
      <c r="N924" s="30"/>
      <c r="O924" s="30"/>
      <c r="P924" s="36"/>
      <c r="Q924" s="38">
        <f>IF(OR(C924&lt;&gt;"loan",E924=""),"",IF(ISNA(MATCH(E924,Units!$A$2:$A$501,0)),"",IF(INDEX(Units!$E$2:$E$501,MATCH(E924,Units!$A$2:$A$501,0))="","",IF(K924="","No due date",IF(INT(K924)&gt;INDEX(Units!$E$2:$E$501,MATCH(E924,Units!$A$2:$A$501,0)),"Past cal date","OK")))))</f>
      </c>
      <c r="R924" s="37">
        <f>IF(A924="Overdue",K924+ROW()/10000000,"")</f>
      </c>
    </row>
    <row r="925">
      <c r="A925" s="38">
        <f>IF(C925="","",IF(B925="","Needs ID",IF(OR(C925="loan",C925="send_out"),IF(COUNTIF($L$2:$L$1001,B925)&gt;0,"Closed",IF(K925="","Open",IF(K925&lt;NOW(),"Overdue","Open"))),IF(C925="return",IF(OR(L925="",COUNTIF($B$2:$B$1001,L925)=0),"No match",IF(OR(M925="worn",M925="damaged"),"Quarantine","Returned")),IF(C925="issue","Issued",IF(C925="transfer","Moved",IF(C925="write_off","Written off",IF(C925="unfilled","Unfilled",""))))))))</f>
      </c>
      <c r="B925" s="31"/>
      <c r="C925" s="35"/>
      <c r="D925" s="33"/>
      <c r="E925" s="31"/>
      <c r="F925" s="31"/>
      <c r="G925" s="37">
        <f>IF(F925="","",IF(ISNA(MATCH(F925,'Item master'!$A$2:$A$301,0)),"Not in Item master",IFERROR(INDEX('Item master'!$B$2:$B$301,MATCH(F925,'Item master'!$A$2:$A$301,0))&amp;"","")))</f>
      </c>
      <c r="H925" s="34"/>
      <c r="I925" s="31"/>
      <c r="J925" s="31"/>
      <c r="K925" s="33"/>
      <c r="L925" s="31"/>
      <c r="M925" s="35"/>
      <c r="N925" s="30"/>
      <c r="O925" s="30"/>
      <c r="P925" s="36"/>
      <c r="Q925" s="38">
        <f>IF(OR(C925&lt;&gt;"loan",E925=""),"",IF(ISNA(MATCH(E925,Units!$A$2:$A$501,0)),"",IF(INDEX(Units!$E$2:$E$501,MATCH(E925,Units!$A$2:$A$501,0))="","",IF(K925="","No due date",IF(INT(K925)&gt;INDEX(Units!$E$2:$E$501,MATCH(E925,Units!$A$2:$A$501,0)),"Past cal date","OK")))))</f>
      </c>
      <c r="R925" s="37">
        <f>IF(A925="Overdue",K925+ROW()/10000000,"")</f>
      </c>
    </row>
    <row r="926">
      <c r="A926" s="38">
        <f>IF(C926="","",IF(B926="","Needs ID",IF(OR(C926="loan",C926="send_out"),IF(COUNTIF($L$2:$L$1001,B926)&gt;0,"Closed",IF(K926="","Open",IF(K926&lt;NOW(),"Overdue","Open"))),IF(C926="return",IF(OR(L926="",COUNTIF($B$2:$B$1001,L926)=0),"No match",IF(OR(M926="worn",M926="damaged"),"Quarantine","Returned")),IF(C926="issue","Issued",IF(C926="transfer","Moved",IF(C926="write_off","Written off",IF(C926="unfilled","Unfilled",""))))))))</f>
      </c>
      <c r="B926" s="31"/>
      <c r="C926" s="35"/>
      <c r="D926" s="33"/>
      <c r="E926" s="31"/>
      <c r="F926" s="31"/>
      <c r="G926" s="37">
        <f>IF(F926="","",IF(ISNA(MATCH(F926,'Item master'!$A$2:$A$301,0)),"Not in Item master",IFERROR(INDEX('Item master'!$B$2:$B$301,MATCH(F926,'Item master'!$A$2:$A$301,0))&amp;"","")))</f>
      </c>
      <c r="H926" s="34"/>
      <c r="I926" s="31"/>
      <c r="J926" s="31"/>
      <c r="K926" s="33"/>
      <c r="L926" s="31"/>
      <c r="M926" s="35"/>
      <c r="N926" s="30"/>
      <c r="O926" s="30"/>
      <c r="P926" s="36"/>
      <c r="Q926" s="38">
        <f>IF(OR(C926&lt;&gt;"loan",E926=""),"",IF(ISNA(MATCH(E926,Units!$A$2:$A$501,0)),"",IF(INDEX(Units!$E$2:$E$501,MATCH(E926,Units!$A$2:$A$501,0))="","",IF(K926="","No due date",IF(INT(K926)&gt;INDEX(Units!$E$2:$E$501,MATCH(E926,Units!$A$2:$A$501,0)),"Past cal date","OK")))))</f>
      </c>
      <c r="R926" s="37">
        <f>IF(A926="Overdue",K926+ROW()/10000000,"")</f>
      </c>
    </row>
    <row r="927">
      <c r="A927" s="38">
        <f>IF(C927="","",IF(B927="","Needs ID",IF(OR(C927="loan",C927="send_out"),IF(COUNTIF($L$2:$L$1001,B927)&gt;0,"Closed",IF(K927="","Open",IF(K927&lt;NOW(),"Overdue","Open"))),IF(C927="return",IF(OR(L927="",COUNTIF($B$2:$B$1001,L927)=0),"No match",IF(OR(M927="worn",M927="damaged"),"Quarantine","Returned")),IF(C927="issue","Issued",IF(C927="transfer","Moved",IF(C927="write_off","Written off",IF(C927="unfilled","Unfilled",""))))))))</f>
      </c>
      <c r="B927" s="31"/>
      <c r="C927" s="35"/>
      <c r="D927" s="33"/>
      <c r="E927" s="31"/>
      <c r="F927" s="31"/>
      <c r="G927" s="37">
        <f>IF(F927="","",IF(ISNA(MATCH(F927,'Item master'!$A$2:$A$301,0)),"Not in Item master",IFERROR(INDEX('Item master'!$B$2:$B$301,MATCH(F927,'Item master'!$A$2:$A$301,0))&amp;"","")))</f>
      </c>
      <c r="H927" s="34"/>
      <c r="I927" s="31"/>
      <c r="J927" s="31"/>
      <c r="K927" s="33"/>
      <c r="L927" s="31"/>
      <c r="M927" s="35"/>
      <c r="N927" s="30"/>
      <c r="O927" s="30"/>
      <c r="P927" s="36"/>
      <c r="Q927" s="38">
        <f>IF(OR(C927&lt;&gt;"loan",E927=""),"",IF(ISNA(MATCH(E927,Units!$A$2:$A$501,0)),"",IF(INDEX(Units!$E$2:$E$501,MATCH(E927,Units!$A$2:$A$501,0))="","",IF(K927="","No due date",IF(INT(K927)&gt;INDEX(Units!$E$2:$E$501,MATCH(E927,Units!$A$2:$A$501,0)),"Past cal date","OK")))))</f>
      </c>
      <c r="R927" s="37">
        <f>IF(A927="Overdue",K927+ROW()/10000000,"")</f>
      </c>
    </row>
    <row r="928">
      <c r="A928" s="38">
        <f>IF(C928="","",IF(B928="","Needs ID",IF(OR(C928="loan",C928="send_out"),IF(COUNTIF($L$2:$L$1001,B928)&gt;0,"Closed",IF(K928="","Open",IF(K928&lt;NOW(),"Overdue","Open"))),IF(C928="return",IF(OR(L928="",COUNTIF($B$2:$B$1001,L928)=0),"No match",IF(OR(M928="worn",M928="damaged"),"Quarantine","Returned")),IF(C928="issue","Issued",IF(C928="transfer","Moved",IF(C928="write_off","Written off",IF(C928="unfilled","Unfilled",""))))))))</f>
      </c>
      <c r="B928" s="31"/>
      <c r="C928" s="35"/>
      <c r="D928" s="33"/>
      <c r="E928" s="31"/>
      <c r="F928" s="31"/>
      <c r="G928" s="37">
        <f>IF(F928="","",IF(ISNA(MATCH(F928,'Item master'!$A$2:$A$301,0)),"Not in Item master",IFERROR(INDEX('Item master'!$B$2:$B$301,MATCH(F928,'Item master'!$A$2:$A$301,0))&amp;"","")))</f>
      </c>
      <c r="H928" s="34"/>
      <c r="I928" s="31"/>
      <c r="J928" s="31"/>
      <c r="K928" s="33"/>
      <c r="L928" s="31"/>
      <c r="M928" s="35"/>
      <c r="N928" s="30"/>
      <c r="O928" s="30"/>
      <c r="P928" s="36"/>
      <c r="Q928" s="38">
        <f>IF(OR(C928&lt;&gt;"loan",E928=""),"",IF(ISNA(MATCH(E928,Units!$A$2:$A$501,0)),"",IF(INDEX(Units!$E$2:$E$501,MATCH(E928,Units!$A$2:$A$501,0))="","",IF(K928="","No due date",IF(INT(K928)&gt;INDEX(Units!$E$2:$E$501,MATCH(E928,Units!$A$2:$A$501,0)),"Past cal date","OK")))))</f>
      </c>
      <c r="R928" s="37">
        <f>IF(A928="Overdue",K928+ROW()/10000000,"")</f>
      </c>
    </row>
    <row r="929">
      <c r="A929" s="38">
        <f>IF(C929="","",IF(B929="","Needs ID",IF(OR(C929="loan",C929="send_out"),IF(COUNTIF($L$2:$L$1001,B929)&gt;0,"Closed",IF(K929="","Open",IF(K929&lt;NOW(),"Overdue","Open"))),IF(C929="return",IF(OR(L929="",COUNTIF($B$2:$B$1001,L929)=0),"No match",IF(OR(M929="worn",M929="damaged"),"Quarantine","Returned")),IF(C929="issue","Issued",IF(C929="transfer","Moved",IF(C929="write_off","Written off",IF(C929="unfilled","Unfilled",""))))))))</f>
      </c>
      <c r="B929" s="31"/>
      <c r="C929" s="35"/>
      <c r="D929" s="33"/>
      <c r="E929" s="31"/>
      <c r="F929" s="31"/>
      <c r="G929" s="37">
        <f>IF(F929="","",IF(ISNA(MATCH(F929,'Item master'!$A$2:$A$301,0)),"Not in Item master",IFERROR(INDEX('Item master'!$B$2:$B$301,MATCH(F929,'Item master'!$A$2:$A$301,0))&amp;"","")))</f>
      </c>
      <c r="H929" s="34"/>
      <c r="I929" s="31"/>
      <c r="J929" s="31"/>
      <c r="K929" s="33"/>
      <c r="L929" s="31"/>
      <c r="M929" s="35"/>
      <c r="N929" s="30"/>
      <c r="O929" s="30"/>
      <c r="P929" s="36"/>
      <c r="Q929" s="38">
        <f>IF(OR(C929&lt;&gt;"loan",E929=""),"",IF(ISNA(MATCH(E929,Units!$A$2:$A$501,0)),"",IF(INDEX(Units!$E$2:$E$501,MATCH(E929,Units!$A$2:$A$501,0))="","",IF(K929="","No due date",IF(INT(K929)&gt;INDEX(Units!$E$2:$E$501,MATCH(E929,Units!$A$2:$A$501,0)),"Past cal date","OK")))))</f>
      </c>
      <c r="R929" s="37">
        <f>IF(A929="Overdue",K929+ROW()/10000000,"")</f>
      </c>
    </row>
    <row r="930">
      <c r="A930" s="38">
        <f>IF(C930="","",IF(B930="","Needs ID",IF(OR(C930="loan",C930="send_out"),IF(COUNTIF($L$2:$L$1001,B930)&gt;0,"Closed",IF(K930="","Open",IF(K930&lt;NOW(),"Overdue","Open"))),IF(C930="return",IF(OR(L930="",COUNTIF($B$2:$B$1001,L930)=0),"No match",IF(OR(M930="worn",M930="damaged"),"Quarantine","Returned")),IF(C930="issue","Issued",IF(C930="transfer","Moved",IF(C930="write_off","Written off",IF(C930="unfilled","Unfilled",""))))))))</f>
      </c>
      <c r="B930" s="31"/>
      <c r="C930" s="35"/>
      <c r="D930" s="33"/>
      <c r="E930" s="31"/>
      <c r="F930" s="31"/>
      <c r="G930" s="37">
        <f>IF(F930="","",IF(ISNA(MATCH(F930,'Item master'!$A$2:$A$301,0)),"Not in Item master",IFERROR(INDEX('Item master'!$B$2:$B$301,MATCH(F930,'Item master'!$A$2:$A$301,0))&amp;"","")))</f>
      </c>
      <c r="H930" s="34"/>
      <c r="I930" s="31"/>
      <c r="J930" s="31"/>
      <c r="K930" s="33"/>
      <c r="L930" s="31"/>
      <c r="M930" s="35"/>
      <c r="N930" s="30"/>
      <c r="O930" s="30"/>
      <c r="P930" s="36"/>
      <c r="Q930" s="38">
        <f>IF(OR(C930&lt;&gt;"loan",E930=""),"",IF(ISNA(MATCH(E930,Units!$A$2:$A$501,0)),"",IF(INDEX(Units!$E$2:$E$501,MATCH(E930,Units!$A$2:$A$501,0))="","",IF(K930="","No due date",IF(INT(K930)&gt;INDEX(Units!$E$2:$E$501,MATCH(E930,Units!$A$2:$A$501,0)),"Past cal date","OK")))))</f>
      </c>
      <c r="R930" s="37">
        <f>IF(A930="Overdue",K930+ROW()/10000000,"")</f>
      </c>
    </row>
    <row r="931">
      <c r="A931" s="38">
        <f>IF(C931="","",IF(B931="","Needs ID",IF(OR(C931="loan",C931="send_out"),IF(COUNTIF($L$2:$L$1001,B931)&gt;0,"Closed",IF(K931="","Open",IF(K931&lt;NOW(),"Overdue","Open"))),IF(C931="return",IF(OR(L931="",COUNTIF($B$2:$B$1001,L931)=0),"No match",IF(OR(M931="worn",M931="damaged"),"Quarantine","Returned")),IF(C931="issue","Issued",IF(C931="transfer","Moved",IF(C931="write_off","Written off",IF(C931="unfilled","Unfilled",""))))))))</f>
      </c>
      <c r="B931" s="31"/>
      <c r="C931" s="35"/>
      <c r="D931" s="33"/>
      <c r="E931" s="31"/>
      <c r="F931" s="31"/>
      <c r="G931" s="37">
        <f>IF(F931="","",IF(ISNA(MATCH(F931,'Item master'!$A$2:$A$301,0)),"Not in Item master",IFERROR(INDEX('Item master'!$B$2:$B$301,MATCH(F931,'Item master'!$A$2:$A$301,0))&amp;"","")))</f>
      </c>
      <c r="H931" s="34"/>
      <c r="I931" s="31"/>
      <c r="J931" s="31"/>
      <c r="K931" s="33"/>
      <c r="L931" s="31"/>
      <c r="M931" s="35"/>
      <c r="N931" s="30"/>
      <c r="O931" s="30"/>
      <c r="P931" s="36"/>
      <c r="Q931" s="38">
        <f>IF(OR(C931&lt;&gt;"loan",E931=""),"",IF(ISNA(MATCH(E931,Units!$A$2:$A$501,0)),"",IF(INDEX(Units!$E$2:$E$501,MATCH(E931,Units!$A$2:$A$501,0))="","",IF(K931="","No due date",IF(INT(K931)&gt;INDEX(Units!$E$2:$E$501,MATCH(E931,Units!$A$2:$A$501,0)),"Past cal date","OK")))))</f>
      </c>
      <c r="R931" s="37">
        <f>IF(A931="Overdue",K931+ROW()/10000000,"")</f>
      </c>
    </row>
    <row r="932">
      <c r="A932" s="38">
        <f>IF(C932="","",IF(B932="","Needs ID",IF(OR(C932="loan",C932="send_out"),IF(COUNTIF($L$2:$L$1001,B932)&gt;0,"Closed",IF(K932="","Open",IF(K932&lt;NOW(),"Overdue","Open"))),IF(C932="return",IF(OR(L932="",COUNTIF($B$2:$B$1001,L932)=0),"No match",IF(OR(M932="worn",M932="damaged"),"Quarantine","Returned")),IF(C932="issue","Issued",IF(C932="transfer","Moved",IF(C932="write_off","Written off",IF(C932="unfilled","Unfilled",""))))))))</f>
      </c>
      <c r="B932" s="31"/>
      <c r="C932" s="35"/>
      <c r="D932" s="33"/>
      <c r="E932" s="31"/>
      <c r="F932" s="31"/>
      <c r="G932" s="37">
        <f>IF(F932="","",IF(ISNA(MATCH(F932,'Item master'!$A$2:$A$301,0)),"Not in Item master",IFERROR(INDEX('Item master'!$B$2:$B$301,MATCH(F932,'Item master'!$A$2:$A$301,0))&amp;"","")))</f>
      </c>
      <c r="H932" s="34"/>
      <c r="I932" s="31"/>
      <c r="J932" s="31"/>
      <c r="K932" s="33"/>
      <c r="L932" s="31"/>
      <c r="M932" s="35"/>
      <c r="N932" s="30"/>
      <c r="O932" s="30"/>
      <c r="P932" s="36"/>
      <c r="Q932" s="38">
        <f>IF(OR(C932&lt;&gt;"loan",E932=""),"",IF(ISNA(MATCH(E932,Units!$A$2:$A$501,0)),"",IF(INDEX(Units!$E$2:$E$501,MATCH(E932,Units!$A$2:$A$501,0))="","",IF(K932="","No due date",IF(INT(K932)&gt;INDEX(Units!$E$2:$E$501,MATCH(E932,Units!$A$2:$A$501,0)),"Past cal date","OK")))))</f>
      </c>
      <c r="R932" s="37">
        <f>IF(A932="Overdue",K932+ROW()/10000000,"")</f>
      </c>
    </row>
    <row r="933">
      <c r="A933" s="38">
        <f>IF(C933="","",IF(B933="","Needs ID",IF(OR(C933="loan",C933="send_out"),IF(COUNTIF($L$2:$L$1001,B933)&gt;0,"Closed",IF(K933="","Open",IF(K933&lt;NOW(),"Overdue","Open"))),IF(C933="return",IF(OR(L933="",COUNTIF($B$2:$B$1001,L933)=0),"No match",IF(OR(M933="worn",M933="damaged"),"Quarantine","Returned")),IF(C933="issue","Issued",IF(C933="transfer","Moved",IF(C933="write_off","Written off",IF(C933="unfilled","Unfilled",""))))))))</f>
      </c>
      <c r="B933" s="31"/>
      <c r="C933" s="35"/>
      <c r="D933" s="33"/>
      <c r="E933" s="31"/>
      <c r="F933" s="31"/>
      <c r="G933" s="37">
        <f>IF(F933="","",IF(ISNA(MATCH(F933,'Item master'!$A$2:$A$301,0)),"Not in Item master",IFERROR(INDEX('Item master'!$B$2:$B$301,MATCH(F933,'Item master'!$A$2:$A$301,0))&amp;"","")))</f>
      </c>
      <c r="H933" s="34"/>
      <c r="I933" s="31"/>
      <c r="J933" s="31"/>
      <c r="K933" s="33"/>
      <c r="L933" s="31"/>
      <c r="M933" s="35"/>
      <c r="N933" s="30"/>
      <c r="O933" s="30"/>
      <c r="P933" s="36"/>
      <c r="Q933" s="38">
        <f>IF(OR(C933&lt;&gt;"loan",E933=""),"",IF(ISNA(MATCH(E933,Units!$A$2:$A$501,0)),"",IF(INDEX(Units!$E$2:$E$501,MATCH(E933,Units!$A$2:$A$501,0))="","",IF(K933="","No due date",IF(INT(K933)&gt;INDEX(Units!$E$2:$E$501,MATCH(E933,Units!$A$2:$A$501,0)),"Past cal date","OK")))))</f>
      </c>
      <c r="R933" s="37">
        <f>IF(A933="Overdue",K933+ROW()/10000000,"")</f>
      </c>
    </row>
    <row r="934">
      <c r="A934" s="38">
        <f>IF(C934="","",IF(B934="","Needs ID",IF(OR(C934="loan",C934="send_out"),IF(COUNTIF($L$2:$L$1001,B934)&gt;0,"Closed",IF(K934="","Open",IF(K934&lt;NOW(),"Overdue","Open"))),IF(C934="return",IF(OR(L934="",COUNTIF($B$2:$B$1001,L934)=0),"No match",IF(OR(M934="worn",M934="damaged"),"Quarantine","Returned")),IF(C934="issue","Issued",IF(C934="transfer","Moved",IF(C934="write_off","Written off",IF(C934="unfilled","Unfilled",""))))))))</f>
      </c>
      <c r="B934" s="31"/>
      <c r="C934" s="35"/>
      <c r="D934" s="33"/>
      <c r="E934" s="31"/>
      <c r="F934" s="31"/>
      <c r="G934" s="37">
        <f>IF(F934="","",IF(ISNA(MATCH(F934,'Item master'!$A$2:$A$301,0)),"Not in Item master",IFERROR(INDEX('Item master'!$B$2:$B$301,MATCH(F934,'Item master'!$A$2:$A$301,0))&amp;"","")))</f>
      </c>
      <c r="H934" s="34"/>
      <c r="I934" s="31"/>
      <c r="J934" s="31"/>
      <c r="K934" s="33"/>
      <c r="L934" s="31"/>
      <c r="M934" s="35"/>
      <c r="N934" s="30"/>
      <c r="O934" s="30"/>
      <c r="P934" s="36"/>
      <c r="Q934" s="38">
        <f>IF(OR(C934&lt;&gt;"loan",E934=""),"",IF(ISNA(MATCH(E934,Units!$A$2:$A$501,0)),"",IF(INDEX(Units!$E$2:$E$501,MATCH(E934,Units!$A$2:$A$501,0))="","",IF(K934="","No due date",IF(INT(K934)&gt;INDEX(Units!$E$2:$E$501,MATCH(E934,Units!$A$2:$A$501,0)),"Past cal date","OK")))))</f>
      </c>
      <c r="R934" s="37">
        <f>IF(A934="Overdue",K934+ROW()/10000000,"")</f>
      </c>
    </row>
    <row r="935">
      <c r="A935" s="38">
        <f>IF(C935="","",IF(B935="","Needs ID",IF(OR(C935="loan",C935="send_out"),IF(COUNTIF($L$2:$L$1001,B935)&gt;0,"Closed",IF(K935="","Open",IF(K935&lt;NOW(),"Overdue","Open"))),IF(C935="return",IF(OR(L935="",COUNTIF($B$2:$B$1001,L935)=0),"No match",IF(OR(M935="worn",M935="damaged"),"Quarantine","Returned")),IF(C935="issue","Issued",IF(C935="transfer","Moved",IF(C935="write_off","Written off",IF(C935="unfilled","Unfilled",""))))))))</f>
      </c>
      <c r="B935" s="31"/>
      <c r="C935" s="35"/>
      <c r="D935" s="33"/>
      <c r="E935" s="31"/>
      <c r="F935" s="31"/>
      <c r="G935" s="37">
        <f>IF(F935="","",IF(ISNA(MATCH(F935,'Item master'!$A$2:$A$301,0)),"Not in Item master",IFERROR(INDEX('Item master'!$B$2:$B$301,MATCH(F935,'Item master'!$A$2:$A$301,0))&amp;"","")))</f>
      </c>
      <c r="H935" s="34"/>
      <c r="I935" s="31"/>
      <c r="J935" s="31"/>
      <c r="K935" s="33"/>
      <c r="L935" s="31"/>
      <c r="M935" s="35"/>
      <c r="N935" s="30"/>
      <c r="O935" s="30"/>
      <c r="P935" s="36"/>
      <c r="Q935" s="38">
        <f>IF(OR(C935&lt;&gt;"loan",E935=""),"",IF(ISNA(MATCH(E935,Units!$A$2:$A$501,0)),"",IF(INDEX(Units!$E$2:$E$501,MATCH(E935,Units!$A$2:$A$501,0))="","",IF(K935="","No due date",IF(INT(K935)&gt;INDEX(Units!$E$2:$E$501,MATCH(E935,Units!$A$2:$A$501,0)),"Past cal date","OK")))))</f>
      </c>
      <c r="R935" s="37">
        <f>IF(A935="Overdue",K935+ROW()/10000000,"")</f>
      </c>
    </row>
    <row r="936">
      <c r="A936" s="38">
        <f>IF(C936="","",IF(B936="","Needs ID",IF(OR(C936="loan",C936="send_out"),IF(COUNTIF($L$2:$L$1001,B936)&gt;0,"Closed",IF(K936="","Open",IF(K936&lt;NOW(),"Overdue","Open"))),IF(C936="return",IF(OR(L936="",COUNTIF($B$2:$B$1001,L936)=0),"No match",IF(OR(M936="worn",M936="damaged"),"Quarantine","Returned")),IF(C936="issue","Issued",IF(C936="transfer","Moved",IF(C936="write_off","Written off",IF(C936="unfilled","Unfilled",""))))))))</f>
      </c>
      <c r="B936" s="31"/>
      <c r="C936" s="35"/>
      <c r="D936" s="33"/>
      <c r="E936" s="31"/>
      <c r="F936" s="31"/>
      <c r="G936" s="37">
        <f>IF(F936="","",IF(ISNA(MATCH(F936,'Item master'!$A$2:$A$301,0)),"Not in Item master",IFERROR(INDEX('Item master'!$B$2:$B$301,MATCH(F936,'Item master'!$A$2:$A$301,0))&amp;"","")))</f>
      </c>
      <c r="H936" s="34"/>
      <c r="I936" s="31"/>
      <c r="J936" s="31"/>
      <c r="K936" s="33"/>
      <c r="L936" s="31"/>
      <c r="M936" s="35"/>
      <c r="N936" s="30"/>
      <c r="O936" s="30"/>
      <c r="P936" s="36"/>
      <c r="Q936" s="38">
        <f>IF(OR(C936&lt;&gt;"loan",E936=""),"",IF(ISNA(MATCH(E936,Units!$A$2:$A$501,0)),"",IF(INDEX(Units!$E$2:$E$501,MATCH(E936,Units!$A$2:$A$501,0))="","",IF(K936="","No due date",IF(INT(K936)&gt;INDEX(Units!$E$2:$E$501,MATCH(E936,Units!$A$2:$A$501,0)),"Past cal date","OK")))))</f>
      </c>
      <c r="R936" s="37">
        <f>IF(A936="Overdue",K936+ROW()/10000000,"")</f>
      </c>
    </row>
    <row r="937">
      <c r="A937" s="38">
        <f>IF(C937="","",IF(B937="","Needs ID",IF(OR(C937="loan",C937="send_out"),IF(COUNTIF($L$2:$L$1001,B937)&gt;0,"Closed",IF(K937="","Open",IF(K937&lt;NOW(),"Overdue","Open"))),IF(C937="return",IF(OR(L937="",COUNTIF($B$2:$B$1001,L937)=0),"No match",IF(OR(M937="worn",M937="damaged"),"Quarantine","Returned")),IF(C937="issue","Issued",IF(C937="transfer","Moved",IF(C937="write_off","Written off",IF(C937="unfilled","Unfilled",""))))))))</f>
      </c>
      <c r="B937" s="31"/>
      <c r="C937" s="35"/>
      <c r="D937" s="33"/>
      <c r="E937" s="31"/>
      <c r="F937" s="31"/>
      <c r="G937" s="37">
        <f>IF(F937="","",IF(ISNA(MATCH(F937,'Item master'!$A$2:$A$301,0)),"Not in Item master",IFERROR(INDEX('Item master'!$B$2:$B$301,MATCH(F937,'Item master'!$A$2:$A$301,0))&amp;"","")))</f>
      </c>
      <c r="H937" s="34"/>
      <c r="I937" s="31"/>
      <c r="J937" s="31"/>
      <c r="K937" s="33"/>
      <c r="L937" s="31"/>
      <c r="M937" s="35"/>
      <c r="N937" s="30"/>
      <c r="O937" s="30"/>
      <c r="P937" s="36"/>
      <c r="Q937" s="38">
        <f>IF(OR(C937&lt;&gt;"loan",E937=""),"",IF(ISNA(MATCH(E937,Units!$A$2:$A$501,0)),"",IF(INDEX(Units!$E$2:$E$501,MATCH(E937,Units!$A$2:$A$501,0))="","",IF(K937="","No due date",IF(INT(K937)&gt;INDEX(Units!$E$2:$E$501,MATCH(E937,Units!$A$2:$A$501,0)),"Past cal date","OK")))))</f>
      </c>
      <c r="R937" s="37">
        <f>IF(A937="Overdue",K937+ROW()/10000000,"")</f>
      </c>
    </row>
    <row r="938">
      <c r="A938" s="38">
        <f>IF(C938="","",IF(B938="","Needs ID",IF(OR(C938="loan",C938="send_out"),IF(COUNTIF($L$2:$L$1001,B938)&gt;0,"Closed",IF(K938="","Open",IF(K938&lt;NOW(),"Overdue","Open"))),IF(C938="return",IF(OR(L938="",COUNTIF($B$2:$B$1001,L938)=0),"No match",IF(OR(M938="worn",M938="damaged"),"Quarantine","Returned")),IF(C938="issue","Issued",IF(C938="transfer","Moved",IF(C938="write_off","Written off",IF(C938="unfilled","Unfilled",""))))))))</f>
      </c>
      <c r="B938" s="31"/>
      <c r="C938" s="35"/>
      <c r="D938" s="33"/>
      <c r="E938" s="31"/>
      <c r="F938" s="31"/>
      <c r="G938" s="37">
        <f>IF(F938="","",IF(ISNA(MATCH(F938,'Item master'!$A$2:$A$301,0)),"Not in Item master",IFERROR(INDEX('Item master'!$B$2:$B$301,MATCH(F938,'Item master'!$A$2:$A$301,0))&amp;"","")))</f>
      </c>
      <c r="H938" s="34"/>
      <c r="I938" s="31"/>
      <c r="J938" s="31"/>
      <c r="K938" s="33"/>
      <c r="L938" s="31"/>
      <c r="M938" s="35"/>
      <c r="N938" s="30"/>
      <c r="O938" s="30"/>
      <c r="P938" s="36"/>
      <c r="Q938" s="38">
        <f>IF(OR(C938&lt;&gt;"loan",E938=""),"",IF(ISNA(MATCH(E938,Units!$A$2:$A$501,0)),"",IF(INDEX(Units!$E$2:$E$501,MATCH(E938,Units!$A$2:$A$501,0))="","",IF(K938="","No due date",IF(INT(K938)&gt;INDEX(Units!$E$2:$E$501,MATCH(E938,Units!$A$2:$A$501,0)),"Past cal date","OK")))))</f>
      </c>
      <c r="R938" s="37">
        <f>IF(A938="Overdue",K938+ROW()/10000000,"")</f>
      </c>
    </row>
    <row r="939">
      <c r="A939" s="38">
        <f>IF(C939="","",IF(B939="","Needs ID",IF(OR(C939="loan",C939="send_out"),IF(COUNTIF($L$2:$L$1001,B939)&gt;0,"Closed",IF(K939="","Open",IF(K939&lt;NOW(),"Overdue","Open"))),IF(C939="return",IF(OR(L939="",COUNTIF($B$2:$B$1001,L939)=0),"No match",IF(OR(M939="worn",M939="damaged"),"Quarantine","Returned")),IF(C939="issue","Issued",IF(C939="transfer","Moved",IF(C939="write_off","Written off",IF(C939="unfilled","Unfilled",""))))))))</f>
      </c>
      <c r="B939" s="31"/>
      <c r="C939" s="35"/>
      <c r="D939" s="33"/>
      <c r="E939" s="31"/>
      <c r="F939" s="31"/>
      <c r="G939" s="37">
        <f>IF(F939="","",IF(ISNA(MATCH(F939,'Item master'!$A$2:$A$301,0)),"Not in Item master",IFERROR(INDEX('Item master'!$B$2:$B$301,MATCH(F939,'Item master'!$A$2:$A$301,0))&amp;"","")))</f>
      </c>
      <c r="H939" s="34"/>
      <c r="I939" s="31"/>
      <c r="J939" s="31"/>
      <c r="K939" s="33"/>
      <c r="L939" s="31"/>
      <c r="M939" s="35"/>
      <c r="N939" s="30"/>
      <c r="O939" s="30"/>
      <c r="P939" s="36"/>
      <c r="Q939" s="38">
        <f>IF(OR(C939&lt;&gt;"loan",E939=""),"",IF(ISNA(MATCH(E939,Units!$A$2:$A$501,0)),"",IF(INDEX(Units!$E$2:$E$501,MATCH(E939,Units!$A$2:$A$501,0))="","",IF(K939="","No due date",IF(INT(K939)&gt;INDEX(Units!$E$2:$E$501,MATCH(E939,Units!$A$2:$A$501,0)),"Past cal date","OK")))))</f>
      </c>
      <c r="R939" s="37">
        <f>IF(A939="Overdue",K939+ROW()/10000000,"")</f>
      </c>
    </row>
    <row r="940">
      <c r="A940" s="38">
        <f>IF(C940="","",IF(B940="","Needs ID",IF(OR(C940="loan",C940="send_out"),IF(COUNTIF($L$2:$L$1001,B940)&gt;0,"Closed",IF(K940="","Open",IF(K940&lt;NOW(),"Overdue","Open"))),IF(C940="return",IF(OR(L940="",COUNTIF($B$2:$B$1001,L940)=0),"No match",IF(OR(M940="worn",M940="damaged"),"Quarantine","Returned")),IF(C940="issue","Issued",IF(C940="transfer","Moved",IF(C940="write_off","Written off",IF(C940="unfilled","Unfilled",""))))))))</f>
      </c>
      <c r="B940" s="31"/>
      <c r="C940" s="35"/>
      <c r="D940" s="33"/>
      <c r="E940" s="31"/>
      <c r="F940" s="31"/>
      <c r="G940" s="37">
        <f>IF(F940="","",IF(ISNA(MATCH(F940,'Item master'!$A$2:$A$301,0)),"Not in Item master",IFERROR(INDEX('Item master'!$B$2:$B$301,MATCH(F940,'Item master'!$A$2:$A$301,0))&amp;"","")))</f>
      </c>
      <c r="H940" s="34"/>
      <c r="I940" s="31"/>
      <c r="J940" s="31"/>
      <c r="K940" s="33"/>
      <c r="L940" s="31"/>
      <c r="M940" s="35"/>
      <c r="N940" s="30"/>
      <c r="O940" s="30"/>
      <c r="P940" s="36"/>
      <c r="Q940" s="38">
        <f>IF(OR(C940&lt;&gt;"loan",E940=""),"",IF(ISNA(MATCH(E940,Units!$A$2:$A$501,0)),"",IF(INDEX(Units!$E$2:$E$501,MATCH(E940,Units!$A$2:$A$501,0))="","",IF(K940="","No due date",IF(INT(K940)&gt;INDEX(Units!$E$2:$E$501,MATCH(E940,Units!$A$2:$A$501,0)),"Past cal date","OK")))))</f>
      </c>
      <c r="R940" s="37">
        <f>IF(A940="Overdue",K940+ROW()/10000000,"")</f>
      </c>
    </row>
    <row r="941">
      <c r="A941" s="38">
        <f>IF(C941="","",IF(B941="","Needs ID",IF(OR(C941="loan",C941="send_out"),IF(COUNTIF($L$2:$L$1001,B941)&gt;0,"Closed",IF(K941="","Open",IF(K941&lt;NOW(),"Overdue","Open"))),IF(C941="return",IF(OR(L941="",COUNTIF($B$2:$B$1001,L941)=0),"No match",IF(OR(M941="worn",M941="damaged"),"Quarantine","Returned")),IF(C941="issue","Issued",IF(C941="transfer","Moved",IF(C941="write_off","Written off",IF(C941="unfilled","Unfilled",""))))))))</f>
      </c>
      <c r="B941" s="31"/>
      <c r="C941" s="35"/>
      <c r="D941" s="33"/>
      <c r="E941" s="31"/>
      <c r="F941" s="31"/>
      <c r="G941" s="37">
        <f>IF(F941="","",IF(ISNA(MATCH(F941,'Item master'!$A$2:$A$301,0)),"Not in Item master",IFERROR(INDEX('Item master'!$B$2:$B$301,MATCH(F941,'Item master'!$A$2:$A$301,0))&amp;"","")))</f>
      </c>
      <c r="H941" s="34"/>
      <c r="I941" s="31"/>
      <c r="J941" s="31"/>
      <c r="K941" s="33"/>
      <c r="L941" s="31"/>
      <c r="M941" s="35"/>
      <c r="N941" s="30"/>
      <c r="O941" s="30"/>
      <c r="P941" s="36"/>
      <c r="Q941" s="38">
        <f>IF(OR(C941&lt;&gt;"loan",E941=""),"",IF(ISNA(MATCH(E941,Units!$A$2:$A$501,0)),"",IF(INDEX(Units!$E$2:$E$501,MATCH(E941,Units!$A$2:$A$501,0))="","",IF(K941="","No due date",IF(INT(K941)&gt;INDEX(Units!$E$2:$E$501,MATCH(E941,Units!$A$2:$A$501,0)),"Past cal date","OK")))))</f>
      </c>
      <c r="R941" s="37">
        <f>IF(A941="Overdue",K941+ROW()/10000000,"")</f>
      </c>
    </row>
    <row r="942">
      <c r="A942" s="38">
        <f>IF(C942="","",IF(B942="","Needs ID",IF(OR(C942="loan",C942="send_out"),IF(COUNTIF($L$2:$L$1001,B942)&gt;0,"Closed",IF(K942="","Open",IF(K942&lt;NOW(),"Overdue","Open"))),IF(C942="return",IF(OR(L942="",COUNTIF($B$2:$B$1001,L942)=0),"No match",IF(OR(M942="worn",M942="damaged"),"Quarantine","Returned")),IF(C942="issue","Issued",IF(C942="transfer","Moved",IF(C942="write_off","Written off",IF(C942="unfilled","Unfilled",""))))))))</f>
      </c>
      <c r="B942" s="31"/>
      <c r="C942" s="35"/>
      <c r="D942" s="33"/>
      <c r="E942" s="31"/>
      <c r="F942" s="31"/>
      <c r="G942" s="37">
        <f>IF(F942="","",IF(ISNA(MATCH(F942,'Item master'!$A$2:$A$301,0)),"Not in Item master",IFERROR(INDEX('Item master'!$B$2:$B$301,MATCH(F942,'Item master'!$A$2:$A$301,0))&amp;"","")))</f>
      </c>
      <c r="H942" s="34"/>
      <c r="I942" s="31"/>
      <c r="J942" s="31"/>
      <c r="K942" s="33"/>
      <c r="L942" s="31"/>
      <c r="M942" s="35"/>
      <c r="N942" s="30"/>
      <c r="O942" s="30"/>
      <c r="P942" s="36"/>
      <c r="Q942" s="38">
        <f>IF(OR(C942&lt;&gt;"loan",E942=""),"",IF(ISNA(MATCH(E942,Units!$A$2:$A$501,0)),"",IF(INDEX(Units!$E$2:$E$501,MATCH(E942,Units!$A$2:$A$501,0))="","",IF(K942="","No due date",IF(INT(K942)&gt;INDEX(Units!$E$2:$E$501,MATCH(E942,Units!$A$2:$A$501,0)),"Past cal date","OK")))))</f>
      </c>
      <c r="R942" s="37">
        <f>IF(A942="Overdue",K942+ROW()/10000000,"")</f>
      </c>
    </row>
    <row r="943">
      <c r="A943" s="38">
        <f>IF(C943="","",IF(B943="","Needs ID",IF(OR(C943="loan",C943="send_out"),IF(COUNTIF($L$2:$L$1001,B943)&gt;0,"Closed",IF(K943="","Open",IF(K943&lt;NOW(),"Overdue","Open"))),IF(C943="return",IF(OR(L943="",COUNTIF($B$2:$B$1001,L943)=0),"No match",IF(OR(M943="worn",M943="damaged"),"Quarantine","Returned")),IF(C943="issue","Issued",IF(C943="transfer","Moved",IF(C943="write_off","Written off",IF(C943="unfilled","Unfilled",""))))))))</f>
      </c>
      <c r="B943" s="31"/>
      <c r="C943" s="35"/>
      <c r="D943" s="33"/>
      <c r="E943" s="31"/>
      <c r="F943" s="31"/>
      <c r="G943" s="37">
        <f>IF(F943="","",IF(ISNA(MATCH(F943,'Item master'!$A$2:$A$301,0)),"Not in Item master",IFERROR(INDEX('Item master'!$B$2:$B$301,MATCH(F943,'Item master'!$A$2:$A$301,0))&amp;"","")))</f>
      </c>
      <c r="H943" s="34"/>
      <c r="I943" s="31"/>
      <c r="J943" s="31"/>
      <c r="K943" s="33"/>
      <c r="L943" s="31"/>
      <c r="M943" s="35"/>
      <c r="N943" s="30"/>
      <c r="O943" s="30"/>
      <c r="P943" s="36"/>
      <c r="Q943" s="38">
        <f>IF(OR(C943&lt;&gt;"loan",E943=""),"",IF(ISNA(MATCH(E943,Units!$A$2:$A$501,0)),"",IF(INDEX(Units!$E$2:$E$501,MATCH(E943,Units!$A$2:$A$501,0))="","",IF(K943="","No due date",IF(INT(K943)&gt;INDEX(Units!$E$2:$E$501,MATCH(E943,Units!$A$2:$A$501,0)),"Past cal date","OK")))))</f>
      </c>
      <c r="R943" s="37">
        <f>IF(A943="Overdue",K943+ROW()/10000000,"")</f>
      </c>
    </row>
    <row r="944">
      <c r="A944" s="38">
        <f>IF(C944="","",IF(B944="","Needs ID",IF(OR(C944="loan",C944="send_out"),IF(COUNTIF($L$2:$L$1001,B944)&gt;0,"Closed",IF(K944="","Open",IF(K944&lt;NOW(),"Overdue","Open"))),IF(C944="return",IF(OR(L944="",COUNTIF($B$2:$B$1001,L944)=0),"No match",IF(OR(M944="worn",M944="damaged"),"Quarantine","Returned")),IF(C944="issue","Issued",IF(C944="transfer","Moved",IF(C944="write_off","Written off",IF(C944="unfilled","Unfilled",""))))))))</f>
      </c>
      <c r="B944" s="31"/>
      <c r="C944" s="35"/>
      <c r="D944" s="33"/>
      <c r="E944" s="31"/>
      <c r="F944" s="31"/>
      <c r="G944" s="37">
        <f>IF(F944="","",IF(ISNA(MATCH(F944,'Item master'!$A$2:$A$301,0)),"Not in Item master",IFERROR(INDEX('Item master'!$B$2:$B$301,MATCH(F944,'Item master'!$A$2:$A$301,0))&amp;"","")))</f>
      </c>
      <c r="H944" s="34"/>
      <c r="I944" s="31"/>
      <c r="J944" s="31"/>
      <c r="K944" s="33"/>
      <c r="L944" s="31"/>
      <c r="M944" s="35"/>
      <c r="N944" s="30"/>
      <c r="O944" s="30"/>
      <c r="P944" s="36"/>
      <c r="Q944" s="38">
        <f>IF(OR(C944&lt;&gt;"loan",E944=""),"",IF(ISNA(MATCH(E944,Units!$A$2:$A$501,0)),"",IF(INDEX(Units!$E$2:$E$501,MATCH(E944,Units!$A$2:$A$501,0))="","",IF(K944="","No due date",IF(INT(K944)&gt;INDEX(Units!$E$2:$E$501,MATCH(E944,Units!$A$2:$A$501,0)),"Past cal date","OK")))))</f>
      </c>
      <c r="R944" s="37">
        <f>IF(A944="Overdue",K944+ROW()/10000000,"")</f>
      </c>
    </row>
    <row r="945">
      <c r="A945" s="38">
        <f>IF(C945="","",IF(B945="","Needs ID",IF(OR(C945="loan",C945="send_out"),IF(COUNTIF($L$2:$L$1001,B945)&gt;0,"Closed",IF(K945="","Open",IF(K945&lt;NOW(),"Overdue","Open"))),IF(C945="return",IF(OR(L945="",COUNTIF($B$2:$B$1001,L945)=0),"No match",IF(OR(M945="worn",M945="damaged"),"Quarantine","Returned")),IF(C945="issue","Issued",IF(C945="transfer","Moved",IF(C945="write_off","Written off",IF(C945="unfilled","Unfilled",""))))))))</f>
      </c>
      <c r="B945" s="31"/>
      <c r="C945" s="35"/>
      <c r="D945" s="33"/>
      <c r="E945" s="31"/>
      <c r="F945" s="31"/>
      <c r="G945" s="37">
        <f>IF(F945="","",IF(ISNA(MATCH(F945,'Item master'!$A$2:$A$301,0)),"Not in Item master",IFERROR(INDEX('Item master'!$B$2:$B$301,MATCH(F945,'Item master'!$A$2:$A$301,0))&amp;"","")))</f>
      </c>
      <c r="H945" s="34"/>
      <c r="I945" s="31"/>
      <c r="J945" s="31"/>
      <c r="K945" s="33"/>
      <c r="L945" s="31"/>
      <c r="M945" s="35"/>
      <c r="N945" s="30"/>
      <c r="O945" s="30"/>
      <c r="P945" s="36"/>
      <c r="Q945" s="38">
        <f>IF(OR(C945&lt;&gt;"loan",E945=""),"",IF(ISNA(MATCH(E945,Units!$A$2:$A$501,0)),"",IF(INDEX(Units!$E$2:$E$501,MATCH(E945,Units!$A$2:$A$501,0))="","",IF(K945="","No due date",IF(INT(K945)&gt;INDEX(Units!$E$2:$E$501,MATCH(E945,Units!$A$2:$A$501,0)),"Past cal date","OK")))))</f>
      </c>
      <c r="R945" s="37">
        <f>IF(A945="Overdue",K945+ROW()/10000000,"")</f>
      </c>
    </row>
    <row r="946">
      <c r="A946" s="38">
        <f>IF(C946="","",IF(B946="","Needs ID",IF(OR(C946="loan",C946="send_out"),IF(COUNTIF($L$2:$L$1001,B946)&gt;0,"Closed",IF(K946="","Open",IF(K946&lt;NOW(),"Overdue","Open"))),IF(C946="return",IF(OR(L946="",COUNTIF($B$2:$B$1001,L946)=0),"No match",IF(OR(M946="worn",M946="damaged"),"Quarantine","Returned")),IF(C946="issue","Issued",IF(C946="transfer","Moved",IF(C946="write_off","Written off",IF(C946="unfilled","Unfilled",""))))))))</f>
      </c>
      <c r="B946" s="31"/>
      <c r="C946" s="35"/>
      <c r="D946" s="33"/>
      <c r="E946" s="31"/>
      <c r="F946" s="31"/>
      <c r="G946" s="37">
        <f>IF(F946="","",IF(ISNA(MATCH(F946,'Item master'!$A$2:$A$301,0)),"Not in Item master",IFERROR(INDEX('Item master'!$B$2:$B$301,MATCH(F946,'Item master'!$A$2:$A$301,0))&amp;"","")))</f>
      </c>
      <c r="H946" s="34"/>
      <c r="I946" s="31"/>
      <c r="J946" s="31"/>
      <c r="K946" s="33"/>
      <c r="L946" s="31"/>
      <c r="M946" s="35"/>
      <c r="N946" s="30"/>
      <c r="O946" s="30"/>
      <c r="P946" s="36"/>
      <c r="Q946" s="38">
        <f>IF(OR(C946&lt;&gt;"loan",E946=""),"",IF(ISNA(MATCH(E946,Units!$A$2:$A$501,0)),"",IF(INDEX(Units!$E$2:$E$501,MATCH(E946,Units!$A$2:$A$501,0))="","",IF(K946="","No due date",IF(INT(K946)&gt;INDEX(Units!$E$2:$E$501,MATCH(E946,Units!$A$2:$A$501,0)),"Past cal date","OK")))))</f>
      </c>
      <c r="R946" s="37">
        <f>IF(A946="Overdue",K946+ROW()/10000000,"")</f>
      </c>
    </row>
    <row r="947">
      <c r="A947" s="38">
        <f>IF(C947="","",IF(B947="","Needs ID",IF(OR(C947="loan",C947="send_out"),IF(COUNTIF($L$2:$L$1001,B947)&gt;0,"Closed",IF(K947="","Open",IF(K947&lt;NOW(),"Overdue","Open"))),IF(C947="return",IF(OR(L947="",COUNTIF($B$2:$B$1001,L947)=0),"No match",IF(OR(M947="worn",M947="damaged"),"Quarantine","Returned")),IF(C947="issue","Issued",IF(C947="transfer","Moved",IF(C947="write_off","Written off",IF(C947="unfilled","Unfilled",""))))))))</f>
      </c>
      <c r="B947" s="31"/>
      <c r="C947" s="35"/>
      <c r="D947" s="33"/>
      <c r="E947" s="31"/>
      <c r="F947" s="31"/>
      <c r="G947" s="37">
        <f>IF(F947="","",IF(ISNA(MATCH(F947,'Item master'!$A$2:$A$301,0)),"Not in Item master",IFERROR(INDEX('Item master'!$B$2:$B$301,MATCH(F947,'Item master'!$A$2:$A$301,0))&amp;"","")))</f>
      </c>
      <c r="H947" s="34"/>
      <c r="I947" s="31"/>
      <c r="J947" s="31"/>
      <c r="K947" s="33"/>
      <c r="L947" s="31"/>
      <c r="M947" s="35"/>
      <c r="N947" s="30"/>
      <c r="O947" s="30"/>
      <c r="P947" s="36"/>
      <c r="Q947" s="38">
        <f>IF(OR(C947&lt;&gt;"loan",E947=""),"",IF(ISNA(MATCH(E947,Units!$A$2:$A$501,0)),"",IF(INDEX(Units!$E$2:$E$501,MATCH(E947,Units!$A$2:$A$501,0))="","",IF(K947="","No due date",IF(INT(K947)&gt;INDEX(Units!$E$2:$E$501,MATCH(E947,Units!$A$2:$A$501,0)),"Past cal date","OK")))))</f>
      </c>
      <c r="R947" s="37">
        <f>IF(A947="Overdue",K947+ROW()/10000000,"")</f>
      </c>
    </row>
    <row r="948">
      <c r="A948" s="38">
        <f>IF(C948="","",IF(B948="","Needs ID",IF(OR(C948="loan",C948="send_out"),IF(COUNTIF($L$2:$L$1001,B948)&gt;0,"Closed",IF(K948="","Open",IF(K948&lt;NOW(),"Overdue","Open"))),IF(C948="return",IF(OR(L948="",COUNTIF($B$2:$B$1001,L948)=0),"No match",IF(OR(M948="worn",M948="damaged"),"Quarantine","Returned")),IF(C948="issue","Issued",IF(C948="transfer","Moved",IF(C948="write_off","Written off",IF(C948="unfilled","Unfilled",""))))))))</f>
      </c>
      <c r="B948" s="31"/>
      <c r="C948" s="35"/>
      <c r="D948" s="33"/>
      <c r="E948" s="31"/>
      <c r="F948" s="31"/>
      <c r="G948" s="37">
        <f>IF(F948="","",IF(ISNA(MATCH(F948,'Item master'!$A$2:$A$301,0)),"Not in Item master",IFERROR(INDEX('Item master'!$B$2:$B$301,MATCH(F948,'Item master'!$A$2:$A$301,0))&amp;"","")))</f>
      </c>
      <c r="H948" s="34"/>
      <c r="I948" s="31"/>
      <c r="J948" s="31"/>
      <c r="K948" s="33"/>
      <c r="L948" s="31"/>
      <c r="M948" s="35"/>
      <c r="N948" s="30"/>
      <c r="O948" s="30"/>
      <c r="P948" s="36"/>
      <c r="Q948" s="38">
        <f>IF(OR(C948&lt;&gt;"loan",E948=""),"",IF(ISNA(MATCH(E948,Units!$A$2:$A$501,0)),"",IF(INDEX(Units!$E$2:$E$501,MATCH(E948,Units!$A$2:$A$501,0))="","",IF(K948="","No due date",IF(INT(K948)&gt;INDEX(Units!$E$2:$E$501,MATCH(E948,Units!$A$2:$A$501,0)),"Past cal date","OK")))))</f>
      </c>
      <c r="R948" s="37">
        <f>IF(A948="Overdue",K948+ROW()/10000000,"")</f>
      </c>
    </row>
    <row r="949">
      <c r="A949" s="38">
        <f>IF(C949="","",IF(B949="","Needs ID",IF(OR(C949="loan",C949="send_out"),IF(COUNTIF($L$2:$L$1001,B949)&gt;0,"Closed",IF(K949="","Open",IF(K949&lt;NOW(),"Overdue","Open"))),IF(C949="return",IF(OR(L949="",COUNTIF($B$2:$B$1001,L949)=0),"No match",IF(OR(M949="worn",M949="damaged"),"Quarantine","Returned")),IF(C949="issue","Issued",IF(C949="transfer","Moved",IF(C949="write_off","Written off",IF(C949="unfilled","Unfilled",""))))))))</f>
      </c>
      <c r="B949" s="31"/>
      <c r="C949" s="35"/>
      <c r="D949" s="33"/>
      <c r="E949" s="31"/>
      <c r="F949" s="31"/>
      <c r="G949" s="37">
        <f>IF(F949="","",IF(ISNA(MATCH(F949,'Item master'!$A$2:$A$301,0)),"Not in Item master",IFERROR(INDEX('Item master'!$B$2:$B$301,MATCH(F949,'Item master'!$A$2:$A$301,0))&amp;"","")))</f>
      </c>
      <c r="H949" s="34"/>
      <c r="I949" s="31"/>
      <c r="J949" s="31"/>
      <c r="K949" s="33"/>
      <c r="L949" s="31"/>
      <c r="M949" s="35"/>
      <c r="N949" s="30"/>
      <c r="O949" s="30"/>
      <c r="P949" s="36"/>
      <c r="Q949" s="38">
        <f>IF(OR(C949&lt;&gt;"loan",E949=""),"",IF(ISNA(MATCH(E949,Units!$A$2:$A$501,0)),"",IF(INDEX(Units!$E$2:$E$501,MATCH(E949,Units!$A$2:$A$501,0))="","",IF(K949="","No due date",IF(INT(K949)&gt;INDEX(Units!$E$2:$E$501,MATCH(E949,Units!$A$2:$A$501,0)),"Past cal date","OK")))))</f>
      </c>
      <c r="R949" s="37">
        <f>IF(A949="Overdue",K949+ROW()/10000000,"")</f>
      </c>
    </row>
    <row r="950">
      <c r="A950" s="38">
        <f>IF(C950="","",IF(B950="","Needs ID",IF(OR(C950="loan",C950="send_out"),IF(COUNTIF($L$2:$L$1001,B950)&gt;0,"Closed",IF(K950="","Open",IF(K950&lt;NOW(),"Overdue","Open"))),IF(C950="return",IF(OR(L950="",COUNTIF($B$2:$B$1001,L950)=0),"No match",IF(OR(M950="worn",M950="damaged"),"Quarantine","Returned")),IF(C950="issue","Issued",IF(C950="transfer","Moved",IF(C950="write_off","Written off",IF(C950="unfilled","Unfilled",""))))))))</f>
      </c>
      <c r="B950" s="31"/>
      <c r="C950" s="35"/>
      <c r="D950" s="33"/>
      <c r="E950" s="31"/>
      <c r="F950" s="31"/>
      <c r="G950" s="37">
        <f>IF(F950="","",IF(ISNA(MATCH(F950,'Item master'!$A$2:$A$301,0)),"Not in Item master",IFERROR(INDEX('Item master'!$B$2:$B$301,MATCH(F950,'Item master'!$A$2:$A$301,0))&amp;"","")))</f>
      </c>
      <c r="H950" s="34"/>
      <c r="I950" s="31"/>
      <c r="J950" s="31"/>
      <c r="K950" s="33"/>
      <c r="L950" s="31"/>
      <c r="M950" s="35"/>
      <c r="N950" s="30"/>
      <c r="O950" s="30"/>
      <c r="P950" s="36"/>
      <c r="Q950" s="38">
        <f>IF(OR(C950&lt;&gt;"loan",E950=""),"",IF(ISNA(MATCH(E950,Units!$A$2:$A$501,0)),"",IF(INDEX(Units!$E$2:$E$501,MATCH(E950,Units!$A$2:$A$501,0))="","",IF(K950="","No due date",IF(INT(K950)&gt;INDEX(Units!$E$2:$E$501,MATCH(E950,Units!$A$2:$A$501,0)),"Past cal date","OK")))))</f>
      </c>
      <c r="R950" s="37">
        <f>IF(A950="Overdue",K950+ROW()/10000000,"")</f>
      </c>
    </row>
    <row r="951">
      <c r="A951" s="38">
        <f>IF(C951="","",IF(B951="","Needs ID",IF(OR(C951="loan",C951="send_out"),IF(COUNTIF($L$2:$L$1001,B951)&gt;0,"Closed",IF(K951="","Open",IF(K951&lt;NOW(),"Overdue","Open"))),IF(C951="return",IF(OR(L951="",COUNTIF($B$2:$B$1001,L951)=0),"No match",IF(OR(M951="worn",M951="damaged"),"Quarantine","Returned")),IF(C951="issue","Issued",IF(C951="transfer","Moved",IF(C951="write_off","Written off",IF(C951="unfilled","Unfilled",""))))))))</f>
      </c>
      <c r="B951" s="31"/>
      <c r="C951" s="35"/>
      <c r="D951" s="33"/>
      <c r="E951" s="31"/>
      <c r="F951" s="31"/>
      <c r="G951" s="37">
        <f>IF(F951="","",IF(ISNA(MATCH(F951,'Item master'!$A$2:$A$301,0)),"Not in Item master",IFERROR(INDEX('Item master'!$B$2:$B$301,MATCH(F951,'Item master'!$A$2:$A$301,0))&amp;"","")))</f>
      </c>
      <c r="H951" s="34"/>
      <c r="I951" s="31"/>
      <c r="J951" s="31"/>
      <c r="K951" s="33"/>
      <c r="L951" s="31"/>
      <c r="M951" s="35"/>
      <c r="N951" s="30"/>
      <c r="O951" s="30"/>
      <c r="P951" s="36"/>
      <c r="Q951" s="38">
        <f>IF(OR(C951&lt;&gt;"loan",E951=""),"",IF(ISNA(MATCH(E951,Units!$A$2:$A$501,0)),"",IF(INDEX(Units!$E$2:$E$501,MATCH(E951,Units!$A$2:$A$501,0))="","",IF(K951="","No due date",IF(INT(K951)&gt;INDEX(Units!$E$2:$E$501,MATCH(E951,Units!$A$2:$A$501,0)),"Past cal date","OK")))))</f>
      </c>
      <c r="R951" s="37">
        <f>IF(A951="Overdue",K951+ROW()/10000000,"")</f>
      </c>
    </row>
    <row r="952">
      <c r="A952" s="38">
        <f>IF(C952="","",IF(B952="","Needs ID",IF(OR(C952="loan",C952="send_out"),IF(COUNTIF($L$2:$L$1001,B952)&gt;0,"Closed",IF(K952="","Open",IF(K952&lt;NOW(),"Overdue","Open"))),IF(C952="return",IF(OR(L952="",COUNTIF($B$2:$B$1001,L952)=0),"No match",IF(OR(M952="worn",M952="damaged"),"Quarantine","Returned")),IF(C952="issue","Issued",IF(C952="transfer","Moved",IF(C952="write_off","Written off",IF(C952="unfilled","Unfilled",""))))))))</f>
      </c>
      <c r="B952" s="31"/>
      <c r="C952" s="35"/>
      <c r="D952" s="33"/>
      <c r="E952" s="31"/>
      <c r="F952" s="31"/>
      <c r="G952" s="37">
        <f>IF(F952="","",IF(ISNA(MATCH(F952,'Item master'!$A$2:$A$301,0)),"Not in Item master",IFERROR(INDEX('Item master'!$B$2:$B$301,MATCH(F952,'Item master'!$A$2:$A$301,0))&amp;"","")))</f>
      </c>
      <c r="H952" s="34"/>
      <c r="I952" s="31"/>
      <c r="J952" s="31"/>
      <c r="K952" s="33"/>
      <c r="L952" s="31"/>
      <c r="M952" s="35"/>
      <c r="N952" s="30"/>
      <c r="O952" s="30"/>
      <c r="P952" s="36"/>
      <c r="Q952" s="38">
        <f>IF(OR(C952&lt;&gt;"loan",E952=""),"",IF(ISNA(MATCH(E952,Units!$A$2:$A$501,0)),"",IF(INDEX(Units!$E$2:$E$501,MATCH(E952,Units!$A$2:$A$501,0))="","",IF(K952="","No due date",IF(INT(K952)&gt;INDEX(Units!$E$2:$E$501,MATCH(E952,Units!$A$2:$A$501,0)),"Past cal date","OK")))))</f>
      </c>
      <c r="R952" s="37">
        <f>IF(A952="Overdue",K952+ROW()/10000000,"")</f>
      </c>
    </row>
    <row r="953">
      <c r="A953" s="38">
        <f>IF(C953="","",IF(B953="","Needs ID",IF(OR(C953="loan",C953="send_out"),IF(COUNTIF($L$2:$L$1001,B953)&gt;0,"Closed",IF(K953="","Open",IF(K953&lt;NOW(),"Overdue","Open"))),IF(C953="return",IF(OR(L953="",COUNTIF($B$2:$B$1001,L953)=0),"No match",IF(OR(M953="worn",M953="damaged"),"Quarantine","Returned")),IF(C953="issue","Issued",IF(C953="transfer","Moved",IF(C953="write_off","Written off",IF(C953="unfilled","Unfilled",""))))))))</f>
      </c>
      <c r="B953" s="31"/>
      <c r="C953" s="35"/>
      <c r="D953" s="33"/>
      <c r="E953" s="31"/>
      <c r="F953" s="31"/>
      <c r="G953" s="37">
        <f>IF(F953="","",IF(ISNA(MATCH(F953,'Item master'!$A$2:$A$301,0)),"Not in Item master",IFERROR(INDEX('Item master'!$B$2:$B$301,MATCH(F953,'Item master'!$A$2:$A$301,0))&amp;"","")))</f>
      </c>
      <c r="H953" s="34"/>
      <c r="I953" s="31"/>
      <c r="J953" s="31"/>
      <c r="K953" s="33"/>
      <c r="L953" s="31"/>
      <c r="M953" s="35"/>
      <c r="N953" s="30"/>
      <c r="O953" s="30"/>
      <c r="P953" s="36"/>
      <c r="Q953" s="38">
        <f>IF(OR(C953&lt;&gt;"loan",E953=""),"",IF(ISNA(MATCH(E953,Units!$A$2:$A$501,0)),"",IF(INDEX(Units!$E$2:$E$501,MATCH(E953,Units!$A$2:$A$501,0))="","",IF(K953="","No due date",IF(INT(K953)&gt;INDEX(Units!$E$2:$E$501,MATCH(E953,Units!$A$2:$A$501,0)),"Past cal date","OK")))))</f>
      </c>
      <c r="R953" s="37">
        <f>IF(A953="Overdue",K953+ROW()/10000000,"")</f>
      </c>
    </row>
    <row r="954">
      <c r="A954" s="38">
        <f>IF(C954="","",IF(B954="","Needs ID",IF(OR(C954="loan",C954="send_out"),IF(COUNTIF($L$2:$L$1001,B954)&gt;0,"Closed",IF(K954="","Open",IF(K954&lt;NOW(),"Overdue","Open"))),IF(C954="return",IF(OR(L954="",COUNTIF($B$2:$B$1001,L954)=0),"No match",IF(OR(M954="worn",M954="damaged"),"Quarantine","Returned")),IF(C954="issue","Issued",IF(C954="transfer","Moved",IF(C954="write_off","Written off",IF(C954="unfilled","Unfilled",""))))))))</f>
      </c>
      <c r="B954" s="31"/>
      <c r="C954" s="35"/>
      <c r="D954" s="33"/>
      <c r="E954" s="31"/>
      <c r="F954" s="31"/>
      <c r="G954" s="37">
        <f>IF(F954="","",IF(ISNA(MATCH(F954,'Item master'!$A$2:$A$301,0)),"Not in Item master",IFERROR(INDEX('Item master'!$B$2:$B$301,MATCH(F954,'Item master'!$A$2:$A$301,0))&amp;"","")))</f>
      </c>
      <c r="H954" s="34"/>
      <c r="I954" s="31"/>
      <c r="J954" s="31"/>
      <c r="K954" s="33"/>
      <c r="L954" s="31"/>
      <c r="M954" s="35"/>
      <c r="N954" s="30"/>
      <c r="O954" s="30"/>
      <c r="P954" s="36"/>
      <c r="Q954" s="38">
        <f>IF(OR(C954&lt;&gt;"loan",E954=""),"",IF(ISNA(MATCH(E954,Units!$A$2:$A$501,0)),"",IF(INDEX(Units!$E$2:$E$501,MATCH(E954,Units!$A$2:$A$501,0))="","",IF(K954="","No due date",IF(INT(K954)&gt;INDEX(Units!$E$2:$E$501,MATCH(E954,Units!$A$2:$A$501,0)),"Past cal date","OK")))))</f>
      </c>
      <c r="R954" s="37">
        <f>IF(A954="Overdue",K954+ROW()/10000000,"")</f>
      </c>
    </row>
    <row r="955">
      <c r="A955" s="38">
        <f>IF(C955="","",IF(B955="","Needs ID",IF(OR(C955="loan",C955="send_out"),IF(COUNTIF($L$2:$L$1001,B955)&gt;0,"Closed",IF(K955="","Open",IF(K955&lt;NOW(),"Overdue","Open"))),IF(C955="return",IF(OR(L955="",COUNTIF($B$2:$B$1001,L955)=0),"No match",IF(OR(M955="worn",M955="damaged"),"Quarantine","Returned")),IF(C955="issue","Issued",IF(C955="transfer","Moved",IF(C955="write_off","Written off",IF(C955="unfilled","Unfilled",""))))))))</f>
      </c>
      <c r="B955" s="31"/>
      <c r="C955" s="35"/>
      <c r="D955" s="33"/>
      <c r="E955" s="31"/>
      <c r="F955" s="31"/>
      <c r="G955" s="37">
        <f>IF(F955="","",IF(ISNA(MATCH(F955,'Item master'!$A$2:$A$301,0)),"Not in Item master",IFERROR(INDEX('Item master'!$B$2:$B$301,MATCH(F955,'Item master'!$A$2:$A$301,0))&amp;"","")))</f>
      </c>
      <c r="H955" s="34"/>
      <c r="I955" s="31"/>
      <c r="J955" s="31"/>
      <c r="K955" s="33"/>
      <c r="L955" s="31"/>
      <c r="M955" s="35"/>
      <c r="N955" s="30"/>
      <c r="O955" s="30"/>
      <c r="P955" s="36"/>
      <c r="Q955" s="38">
        <f>IF(OR(C955&lt;&gt;"loan",E955=""),"",IF(ISNA(MATCH(E955,Units!$A$2:$A$501,0)),"",IF(INDEX(Units!$E$2:$E$501,MATCH(E955,Units!$A$2:$A$501,0))="","",IF(K955="","No due date",IF(INT(K955)&gt;INDEX(Units!$E$2:$E$501,MATCH(E955,Units!$A$2:$A$501,0)),"Past cal date","OK")))))</f>
      </c>
      <c r="R955" s="37">
        <f>IF(A955="Overdue",K955+ROW()/10000000,"")</f>
      </c>
    </row>
    <row r="956">
      <c r="A956" s="38">
        <f>IF(C956="","",IF(B956="","Needs ID",IF(OR(C956="loan",C956="send_out"),IF(COUNTIF($L$2:$L$1001,B956)&gt;0,"Closed",IF(K956="","Open",IF(K956&lt;NOW(),"Overdue","Open"))),IF(C956="return",IF(OR(L956="",COUNTIF($B$2:$B$1001,L956)=0),"No match",IF(OR(M956="worn",M956="damaged"),"Quarantine","Returned")),IF(C956="issue","Issued",IF(C956="transfer","Moved",IF(C956="write_off","Written off",IF(C956="unfilled","Unfilled",""))))))))</f>
      </c>
      <c r="B956" s="31"/>
      <c r="C956" s="35"/>
      <c r="D956" s="33"/>
      <c r="E956" s="31"/>
      <c r="F956" s="31"/>
      <c r="G956" s="37">
        <f>IF(F956="","",IF(ISNA(MATCH(F956,'Item master'!$A$2:$A$301,0)),"Not in Item master",IFERROR(INDEX('Item master'!$B$2:$B$301,MATCH(F956,'Item master'!$A$2:$A$301,0))&amp;"","")))</f>
      </c>
      <c r="H956" s="34"/>
      <c r="I956" s="31"/>
      <c r="J956" s="31"/>
      <c r="K956" s="33"/>
      <c r="L956" s="31"/>
      <c r="M956" s="35"/>
      <c r="N956" s="30"/>
      <c r="O956" s="30"/>
      <c r="P956" s="36"/>
      <c r="Q956" s="38">
        <f>IF(OR(C956&lt;&gt;"loan",E956=""),"",IF(ISNA(MATCH(E956,Units!$A$2:$A$501,0)),"",IF(INDEX(Units!$E$2:$E$501,MATCH(E956,Units!$A$2:$A$501,0))="","",IF(K956="","No due date",IF(INT(K956)&gt;INDEX(Units!$E$2:$E$501,MATCH(E956,Units!$A$2:$A$501,0)),"Past cal date","OK")))))</f>
      </c>
      <c r="R956" s="37">
        <f>IF(A956="Overdue",K956+ROW()/10000000,"")</f>
      </c>
    </row>
    <row r="957">
      <c r="A957" s="38">
        <f>IF(C957="","",IF(B957="","Needs ID",IF(OR(C957="loan",C957="send_out"),IF(COUNTIF($L$2:$L$1001,B957)&gt;0,"Closed",IF(K957="","Open",IF(K957&lt;NOW(),"Overdue","Open"))),IF(C957="return",IF(OR(L957="",COUNTIF($B$2:$B$1001,L957)=0),"No match",IF(OR(M957="worn",M957="damaged"),"Quarantine","Returned")),IF(C957="issue","Issued",IF(C957="transfer","Moved",IF(C957="write_off","Written off",IF(C957="unfilled","Unfilled",""))))))))</f>
      </c>
      <c r="B957" s="31"/>
      <c r="C957" s="35"/>
      <c r="D957" s="33"/>
      <c r="E957" s="31"/>
      <c r="F957" s="31"/>
      <c r="G957" s="37">
        <f>IF(F957="","",IF(ISNA(MATCH(F957,'Item master'!$A$2:$A$301,0)),"Not in Item master",IFERROR(INDEX('Item master'!$B$2:$B$301,MATCH(F957,'Item master'!$A$2:$A$301,0))&amp;"","")))</f>
      </c>
      <c r="H957" s="34"/>
      <c r="I957" s="31"/>
      <c r="J957" s="31"/>
      <c r="K957" s="33"/>
      <c r="L957" s="31"/>
      <c r="M957" s="35"/>
      <c r="N957" s="30"/>
      <c r="O957" s="30"/>
      <c r="P957" s="36"/>
      <c r="Q957" s="38">
        <f>IF(OR(C957&lt;&gt;"loan",E957=""),"",IF(ISNA(MATCH(E957,Units!$A$2:$A$501,0)),"",IF(INDEX(Units!$E$2:$E$501,MATCH(E957,Units!$A$2:$A$501,0))="","",IF(K957="","No due date",IF(INT(K957)&gt;INDEX(Units!$E$2:$E$501,MATCH(E957,Units!$A$2:$A$501,0)),"Past cal date","OK")))))</f>
      </c>
      <c r="R957" s="37">
        <f>IF(A957="Overdue",K957+ROW()/10000000,"")</f>
      </c>
    </row>
    <row r="958">
      <c r="A958" s="38">
        <f>IF(C958="","",IF(B958="","Needs ID",IF(OR(C958="loan",C958="send_out"),IF(COUNTIF($L$2:$L$1001,B958)&gt;0,"Closed",IF(K958="","Open",IF(K958&lt;NOW(),"Overdue","Open"))),IF(C958="return",IF(OR(L958="",COUNTIF($B$2:$B$1001,L958)=0),"No match",IF(OR(M958="worn",M958="damaged"),"Quarantine","Returned")),IF(C958="issue","Issued",IF(C958="transfer","Moved",IF(C958="write_off","Written off",IF(C958="unfilled","Unfilled",""))))))))</f>
      </c>
      <c r="B958" s="31"/>
      <c r="C958" s="35"/>
      <c r="D958" s="33"/>
      <c r="E958" s="31"/>
      <c r="F958" s="31"/>
      <c r="G958" s="37">
        <f>IF(F958="","",IF(ISNA(MATCH(F958,'Item master'!$A$2:$A$301,0)),"Not in Item master",IFERROR(INDEX('Item master'!$B$2:$B$301,MATCH(F958,'Item master'!$A$2:$A$301,0))&amp;"","")))</f>
      </c>
      <c r="H958" s="34"/>
      <c r="I958" s="31"/>
      <c r="J958" s="31"/>
      <c r="K958" s="33"/>
      <c r="L958" s="31"/>
      <c r="M958" s="35"/>
      <c r="N958" s="30"/>
      <c r="O958" s="30"/>
      <c r="P958" s="36"/>
      <c r="Q958" s="38">
        <f>IF(OR(C958&lt;&gt;"loan",E958=""),"",IF(ISNA(MATCH(E958,Units!$A$2:$A$501,0)),"",IF(INDEX(Units!$E$2:$E$501,MATCH(E958,Units!$A$2:$A$501,0))="","",IF(K958="","No due date",IF(INT(K958)&gt;INDEX(Units!$E$2:$E$501,MATCH(E958,Units!$A$2:$A$501,0)),"Past cal date","OK")))))</f>
      </c>
      <c r="R958" s="37">
        <f>IF(A958="Overdue",K958+ROW()/10000000,"")</f>
      </c>
    </row>
    <row r="959">
      <c r="A959" s="38">
        <f>IF(C959="","",IF(B959="","Needs ID",IF(OR(C959="loan",C959="send_out"),IF(COUNTIF($L$2:$L$1001,B959)&gt;0,"Closed",IF(K959="","Open",IF(K959&lt;NOW(),"Overdue","Open"))),IF(C959="return",IF(OR(L959="",COUNTIF($B$2:$B$1001,L959)=0),"No match",IF(OR(M959="worn",M959="damaged"),"Quarantine","Returned")),IF(C959="issue","Issued",IF(C959="transfer","Moved",IF(C959="write_off","Written off",IF(C959="unfilled","Unfilled",""))))))))</f>
      </c>
      <c r="B959" s="31"/>
      <c r="C959" s="35"/>
      <c r="D959" s="33"/>
      <c r="E959" s="31"/>
      <c r="F959" s="31"/>
      <c r="G959" s="37">
        <f>IF(F959="","",IF(ISNA(MATCH(F959,'Item master'!$A$2:$A$301,0)),"Not in Item master",IFERROR(INDEX('Item master'!$B$2:$B$301,MATCH(F959,'Item master'!$A$2:$A$301,0))&amp;"","")))</f>
      </c>
      <c r="H959" s="34"/>
      <c r="I959" s="31"/>
      <c r="J959" s="31"/>
      <c r="K959" s="33"/>
      <c r="L959" s="31"/>
      <c r="M959" s="35"/>
      <c r="N959" s="30"/>
      <c r="O959" s="30"/>
      <c r="P959" s="36"/>
      <c r="Q959" s="38">
        <f>IF(OR(C959&lt;&gt;"loan",E959=""),"",IF(ISNA(MATCH(E959,Units!$A$2:$A$501,0)),"",IF(INDEX(Units!$E$2:$E$501,MATCH(E959,Units!$A$2:$A$501,0))="","",IF(K959="","No due date",IF(INT(K959)&gt;INDEX(Units!$E$2:$E$501,MATCH(E959,Units!$A$2:$A$501,0)),"Past cal date","OK")))))</f>
      </c>
      <c r="R959" s="37">
        <f>IF(A959="Overdue",K959+ROW()/10000000,"")</f>
      </c>
    </row>
    <row r="960">
      <c r="A960" s="38">
        <f>IF(C960="","",IF(B960="","Needs ID",IF(OR(C960="loan",C960="send_out"),IF(COUNTIF($L$2:$L$1001,B960)&gt;0,"Closed",IF(K960="","Open",IF(K960&lt;NOW(),"Overdue","Open"))),IF(C960="return",IF(OR(L960="",COUNTIF($B$2:$B$1001,L960)=0),"No match",IF(OR(M960="worn",M960="damaged"),"Quarantine","Returned")),IF(C960="issue","Issued",IF(C960="transfer","Moved",IF(C960="write_off","Written off",IF(C960="unfilled","Unfilled",""))))))))</f>
      </c>
      <c r="B960" s="31"/>
      <c r="C960" s="35"/>
      <c r="D960" s="33"/>
      <c r="E960" s="31"/>
      <c r="F960" s="31"/>
      <c r="G960" s="37">
        <f>IF(F960="","",IF(ISNA(MATCH(F960,'Item master'!$A$2:$A$301,0)),"Not in Item master",IFERROR(INDEX('Item master'!$B$2:$B$301,MATCH(F960,'Item master'!$A$2:$A$301,0))&amp;"","")))</f>
      </c>
      <c r="H960" s="34"/>
      <c r="I960" s="31"/>
      <c r="J960" s="31"/>
      <c r="K960" s="33"/>
      <c r="L960" s="31"/>
      <c r="M960" s="35"/>
      <c r="N960" s="30"/>
      <c r="O960" s="30"/>
      <c r="P960" s="36"/>
      <c r="Q960" s="38">
        <f>IF(OR(C960&lt;&gt;"loan",E960=""),"",IF(ISNA(MATCH(E960,Units!$A$2:$A$501,0)),"",IF(INDEX(Units!$E$2:$E$501,MATCH(E960,Units!$A$2:$A$501,0))="","",IF(K960="","No due date",IF(INT(K960)&gt;INDEX(Units!$E$2:$E$501,MATCH(E960,Units!$A$2:$A$501,0)),"Past cal date","OK")))))</f>
      </c>
      <c r="R960" s="37">
        <f>IF(A960="Overdue",K960+ROW()/10000000,"")</f>
      </c>
    </row>
    <row r="961">
      <c r="A961" s="38">
        <f>IF(C961="","",IF(B961="","Needs ID",IF(OR(C961="loan",C961="send_out"),IF(COUNTIF($L$2:$L$1001,B961)&gt;0,"Closed",IF(K961="","Open",IF(K961&lt;NOW(),"Overdue","Open"))),IF(C961="return",IF(OR(L961="",COUNTIF($B$2:$B$1001,L961)=0),"No match",IF(OR(M961="worn",M961="damaged"),"Quarantine","Returned")),IF(C961="issue","Issued",IF(C961="transfer","Moved",IF(C961="write_off","Written off",IF(C961="unfilled","Unfilled",""))))))))</f>
      </c>
      <c r="B961" s="31"/>
      <c r="C961" s="35"/>
      <c r="D961" s="33"/>
      <c r="E961" s="31"/>
      <c r="F961" s="31"/>
      <c r="G961" s="37">
        <f>IF(F961="","",IF(ISNA(MATCH(F961,'Item master'!$A$2:$A$301,0)),"Not in Item master",IFERROR(INDEX('Item master'!$B$2:$B$301,MATCH(F961,'Item master'!$A$2:$A$301,0))&amp;"","")))</f>
      </c>
      <c r="H961" s="34"/>
      <c r="I961" s="31"/>
      <c r="J961" s="31"/>
      <c r="K961" s="33"/>
      <c r="L961" s="31"/>
      <c r="M961" s="35"/>
      <c r="N961" s="30"/>
      <c r="O961" s="30"/>
      <c r="P961" s="36"/>
      <c r="Q961" s="38">
        <f>IF(OR(C961&lt;&gt;"loan",E961=""),"",IF(ISNA(MATCH(E961,Units!$A$2:$A$501,0)),"",IF(INDEX(Units!$E$2:$E$501,MATCH(E961,Units!$A$2:$A$501,0))="","",IF(K961="","No due date",IF(INT(K961)&gt;INDEX(Units!$E$2:$E$501,MATCH(E961,Units!$A$2:$A$501,0)),"Past cal date","OK")))))</f>
      </c>
      <c r="R961" s="37">
        <f>IF(A961="Overdue",K961+ROW()/10000000,"")</f>
      </c>
    </row>
    <row r="962">
      <c r="A962" s="38">
        <f>IF(C962="","",IF(B962="","Needs ID",IF(OR(C962="loan",C962="send_out"),IF(COUNTIF($L$2:$L$1001,B962)&gt;0,"Closed",IF(K962="","Open",IF(K962&lt;NOW(),"Overdue","Open"))),IF(C962="return",IF(OR(L962="",COUNTIF($B$2:$B$1001,L962)=0),"No match",IF(OR(M962="worn",M962="damaged"),"Quarantine","Returned")),IF(C962="issue","Issued",IF(C962="transfer","Moved",IF(C962="write_off","Written off",IF(C962="unfilled","Unfilled",""))))))))</f>
      </c>
      <c r="B962" s="31"/>
      <c r="C962" s="35"/>
      <c r="D962" s="33"/>
      <c r="E962" s="31"/>
      <c r="F962" s="31"/>
      <c r="G962" s="37">
        <f>IF(F962="","",IF(ISNA(MATCH(F962,'Item master'!$A$2:$A$301,0)),"Not in Item master",IFERROR(INDEX('Item master'!$B$2:$B$301,MATCH(F962,'Item master'!$A$2:$A$301,0))&amp;"","")))</f>
      </c>
      <c r="H962" s="34"/>
      <c r="I962" s="31"/>
      <c r="J962" s="31"/>
      <c r="K962" s="33"/>
      <c r="L962" s="31"/>
      <c r="M962" s="35"/>
      <c r="N962" s="30"/>
      <c r="O962" s="30"/>
      <c r="P962" s="36"/>
      <c r="Q962" s="38">
        <f>IF(OR(C962&lt;&gt;"loan",E962=""),"",IF(ISNA(MATCH(E962,Units!$A$2:$A$501,0)),"",IF(INDEX(Units!$E$2:$E$501,MATCH(E962,Units!$A$2:$A$501,0))="","",IF(K962="","No due date",IF(INT(K962)&gt;INDEX(Units!$E$2:$E$501,MATCH(E962,Units!$A$2:$A$501,0)),"Past cal date","OK")))))</f>
      </c>
      <c r="R962" s="37">
        <f>IF(A962="Overdue",K962+ROW()/10000000,"")</f>
      </c>
    </row>
    <row r="963">
      <c r="A963" s="38">
        <f>IF(C963="","",IF(B963="","Needs ID",IF(OR(C963="loan",C963="send_out"),IF(COUNTIF($L$2:$L$1001,B963)&gt;0,"Closed",IF(K963="","Open",IF(K963&lt;NOW(),"Overdue","Open"))),IF(C963="return",IF(OR(L963="",COUNTIF($B$2:$B$1001,L963)=0),"No match",IF(OR(M963="worn",M963="damaged"),"Quarantine","Returned")),IF(C963="issue","Issued",IF(C963="transfer","Moved",IF(C963="write_off","Written off",IF(C963="unfilled","Unfilled",""))))))))</f>
      </c>
      <c r="B963" s="31"/>
      <c r="C963" s="35"/>
      <c r="D963" s="33"/>
      <c r="E963" s="31"/>
      <c r="F963" s="31"/>
      <c r="G963" s="37">
        <f>IF(F963="","",IF(ISNA(MATCH(F963,'Item master'!$A$2:$A$301,0)),"Not in Item master",IFERROR(INDEX('Item master'!$B$2:$B$301,MATCH(F963,'Item master'!$A$2:$A$301,0))&amp;"","")))</f>
      </c>
      <c r="H963" s="34"/>
      <c r="I963" s="31"/>
      <c r="J963" s="31"/>
      <c r="K963" s="33"/>
      <c r="L963" s="31"/>
      <c r="M963" s="35"/>
      <c r="N963" s="30"/>
      <c r="O963" s="30"/>
      <c r="P963" s="36"/>
      <c r="Q963" s="38">
        <f>IF(OR(C963&lt;&gt;"loan",E963=""),"",IF(ISNA(MATCH(E963,Units!$A$2:$A$501,0)),"",IF(INDEX(Units!$E$2:$E$501,MATCH(E963,Units!$A$2:$A$501,0))="","",IF(K963="","No due date",IF(INT(K963)&gt;INDEX(Units!$E$2:$E$501,MATCH(E963,Units!$A$2:$A$501,0)),"Past cal date","OK")))))</f>
      </c>
      <c r="R963" s="37">
        <f>IF(A963="Overdue",K963+ROW()/10000000,"")</f>
      </c>
    </row>
    <row r="964">
      <c r="A964" s="38">
        <f>IF(C964="","",IF(B964="","Needs ID",IF(OR(C964="loan",C964="send_out"),IF(COUNTIF($L$2:$L$1001,B964)&gt;0,"Closed",IF(K964="","Open",IF(K964&lt;NOW(),"Overdue","Open"))),IF(C964="return",IF(OR(L964="",COUNTIF($B$2:$B$1001,L964)=0),"No match",IF(OR(M964="worn",M964="damaged"),"Quarantine","Returned")),IF(C964="issue","Issued",IF(C964="transfer","Moved",IF(C964="write_off","Written off",IF(C964="unfilled","Unfilled",""))))))))</f>
      </c>
      <c r="B964" s="31"/>
      <c r="C964" s="35"/>
      <c r="D964" s="33"/>
      <c r="E964" s="31"/>
      <c r="F964" s="31"/>
      <c r="G964" s="37">
        <f>IF(F964="","",IF(ISNA(MATCH(F964,'Item master'!$A$2:$A$301,0)),"Not in Item master",IFERROR(INDEX('Item master'!$B$2:$B$301,MATCH(F964,'Item master'!$A$2:$A$301,0))&amp;"","")))</f>
      </c>
      <c r="H964" s="34"/>
      <c r="I964" s="31"/>
      <c r="J964" s="31"/>
      <c r="K964" s="33"/>
      <c r="L964" s="31"/>
      <c r="M964" s="35"/>
      <c r="N964" s="30"/>
      <c r="O964" s="30"/>
      <c r="P964" s="36"/>
      <c r="Q964" s="38">
        <f>IF(OR(C964&lt;&gt;"loan",E964=""),"",IF(ISNA(MATCH(E964,Units!$A$2:$A$501,0)),"",IF(INDEX(Units!$E$2:$E$501,MATCH(E964,Units!$A$2:$A$501,0))="","",IF(K964="","No due date",IF(INT(K964)&gt;INDEX(Units!$E$2:$E$501,MATCH(E964,Units!$A$2:$A$501,0)),"Past cal date","OK")))))</f>
      </c>
      <c r="R964" s="37">
        <f>IF(A964="Overdue",K964+ROW()/10000000,"")</f>
      </c>
    </row>
    <row r="965">
      <c r="A965" s="38">
        <f>IF(C965="","",IF(B965="","Needs ID",IF(OR(C965="loan",C965="send_out"),IF(COUNTIF($L$2:$L$1001,B965)&gt;0,"Closed",IF(K965="","Open",IF(K965&lt;NOW(),"Overdue","Open"))),IF(C965="return",IF(OR(L965="",COUNTIF($B$2:$B$1001,L965)=0),"No match",IF(OR(M965="worn",M965="damaged"),"Quarantine","Returned")),IF(C965="issue","Issued",IF(C965="transfer","Moved",IF(C965="write_off","Written off",IF(C965="unfilled","Unfilled",""))))))))</f>
      </c>
      <c r="B965" s="31"/>
      <c r="C965" s="35"/>
      <c r="D965" s="33"/>
      <c r="E965" s="31"/>
      <c r="F965" s="31"/>
      <c r="G965" s="37">
        <f>IF(F965="","",IF(ISNA(MATCH(F965,'Item master'!$A$2:$A$301,0)),"Not in Item master",IFERROR(INDEX('Item master'!$B$2:$B$301,MATCH(F965,'Item master'!$A$2:$A$301,0))&amp;"","")))</f>
      </c>
      <c r="H965" s="34"/>
      <c r="I965" s="31"/>
      <c r="J965" s="31"/>
      <c r="K965" s="33"/>
      <c r="L965" s="31"/>
      <c r="M965" s="35"/>
      <c r="N965" s="30"/>
      <c r="O965" s="30"/>
      <c r="P965" s="36"/>
      <c r="Q965" s="38">
        <f>IF(OR(C965&lt;&gt;"loan",E965=""),"",IF(ISNA(MATCH(E965,Units!$A$2:$A$501,0)),"",IF(INDEX(Units!$E$2:$E$501,MATCH(E965,Units!$A$2:$A$501,0))="","",IF(K965="","No due date",IF(INT(K965)&gt;INDEX(Units!$E$2:$E$501,MATCH(E965,Units!$A$2:$A$501,0)),"Past cal date","OK")))))</f>
      </c>
      <c r="R965" s="37">
        <f>IF(A965="Overdue",K965+ROW()/10000000,"")</f>
      </c>
    </row>
    <row r="966">
      <c r="A966" s="38">
        <f>IF(C966="","",IF(B966="","Needs ID",IF(OR(C966="loan",C966="send_out"),IF(COUNTIF($L$2:$L$1001,B966)&gt;0,"Closed",IF(K966="","Open",IF(K966&lt;NOW(),"Overdue","Open"))),IF(C966="return",IF(OR(L966="",COUNTIF($B$2:$B$1001,L966)=0),"No match",IF(OR(M966="worn",M966="damaged"),"Quarantine","Returned")),IF(C966="issue","Issued",IF(C966="transfer","Moved",IF(C966="write_off","Written off",IF(C966="unfilled","Unfilled",""))))))))</f>
      </c>
      <c r="B966" s="31"/>
      <c r="C966" s="35"/>
      <c r="D966" s="33"/>
      <c r="E966" s="31"/>
      <c r="F966" s="31"/>
      <c r="G966" s="37">
        <f>IF(F966="","",IF(ISNA(MATCH(F966,'Item master'!$A$2:$A$301,0)),"Not in Item master",IFERROR(INDEX('Item master'!$B$2:$B$301,MATCH(F966,'Item master'!$A$2:$A$301,0))&amp;"","")))</f>
      </c>
      <c r="H966" s="34"/>
      <c r="I966" s="31"/>
      <c r="J966" s="31"/>
      <c r="K966" s="33"/>
      <c r="L966" s="31"/>
      <c r="M966" s="35"/>
      <c r="N966" s="30"/>
      <c r="O966" s="30"/>
      <c r="P966" s="36"/>
      <c r="Q966" s="38">
        <f>IF(OR(C966&lt;&gt;"loan",E966=""),"",IF(ISNA(MATCH(E966,Units!$A$2:$A$501,0)),"",IF(INDEX(Units!$E$2:$E$501,MATCH(E966,Units!$A$2:$A$501,0))="","",IF(K966="","No due date",IF(INT(K966)&gt;INDEX(Units!$E$2:$E$501,MATCH(E966,Units!$A$2:$A$501,0)),"Past cal date","OK")))))</f>
      </c>
      <c r="R966" s="37">
        <f>IF(A966="Overdue",K966+ROW()/10000000,"")</f>
      </c>
    </row>
    <row r="967">
      <c r="A967" s="38">
        <f>IF(C967="","",IF(B967="","Needs ID",IF(OR(C967="loan",C967="send_out"),IF(COUNTIF($L$2:$L$1001,B967)&gt;0,"Closed",IF(K967="","Open",IF(K967&lt;NOW(),"Overdue","Open"))),IF(C967="return",IF(OR(L967="",COUNTIF($B$2:$B$1001,L967)=0),"No match",IF(OR(M967="worn",M967="damaged"),"Quarantine","Returned")),IF(C967="issue","Issued",IF(C967="transfer","Moved",IF(C967="write_off","Written off",IF(C967="unfilled","Unfilled",""))))))))</f>
      </c>
      <c r="B967" s="31"/>
      <c r="C967" s="35"/>
      <c r="D967" s="33"/>
      <c r="E967" s="31"/>
      <c r="F967" s="31"/>
      <c r="G967" s="37">
        <f>IF(F967="","",IF(ISNA(MATCH(F967,'Item master'!$A$2:$A$301,0)),"Not in Item master",IFERROR(INDEX('Item master'!$B$2:$B$301,MATCH(F967,'Item master'!$A$2:$A$301,0))&amp;"","")))</f>
      </c>
      <c r="H967" s="34"/>
      <c r="I967" s="31"/>
      <c r="J967" s="31"/>
      <c r="K967" s="33"/>
      <c r="L967" s="31"/>
      <c r="M967" s="35"/>
      <c r="N967" s="30"/>
      <c r="O967" s="30"/>
      <c r="P967" s="36"/>
      <c r="Q967" s="38">
        <f>IF(OR(C967&lt;&gt;"loan",E967=""),"",IF(ISNA(MATCH(E967,Units!$A$2:$A$501,0)),"",IF(INDEX(Units!$E$2:$E$501,MATCH(E967,Units!$A$2:$A$501,0))="","",IF(K967="","No due date",IF(INT(K967)&gt;INDEX(Units!$E$2:$E$501,MATCH(E967,Units!$A$2:$A$501,0)),"Past cal date","OK")))))</f>
      </c>
      <c r="R967" s="37">
        <f>IF(A967="Overdue",K967+ROW()/10000000,"")</f>
      </c>
    </row>
    <row r="968">
      <c r="A968" s="38">
        <f>IF(C968="","",IF(B968="","Needs ID",IF(OR(C968="loan",C968="send_out"),IF(COUNTIF($L$2:$L$1001,B968)&gt;0,"Closed",IF(K968="","Open",IF(K968&lt;NOW(),"Overdue","Open"))),IF(C968="return",IF(OR(L968="",COUNTIF($B$2:$B$1001,L968)=0),"No match",IF(OR(M968="worn",M968="damaged"),"Quarantine","Returned")),IF(C968="issue","Issued",IF(C968="transfer","Moved",IF(C968="write_off","Written off",IF(C968="unfilled","Unfilled",""))))))))</f>
      </c>
      <c r="B968" s="31"/>
      <c r="C968" s="35"/>
      <c r="D968" s="33"/>
      <c r="E968" s="31"/>
      <c r="F968" s="31"/>
      <c r="G968" s="37">
        <f>IF(F968="","",IF(ISNA(MATCH(F968,'Item master'!$A$2:$A$301,0)),"Not in Item master",IFERROR(INDEX('Item master'!$B$2:$B$301,MATCH(F968,'Item master'!$A$2:$A$301,0))&amp;"","")))</f>
      </c>
      <c r="H968" s="34"/>
      <c r="I968" s="31"/>
      <c r="J968" s="31"/>
      <c r="K968" s="33"/>
      <c r="L968" s="31"/>
      <c r="M968" s="35"/>
      <c r="N968" s="30"/>
      <c r="O968" s="30"/>
      <c r="P968" s="36"/>
      <c r="Q968" s="38">
        <f>IF(OR(C968&lt;&gt;"loan",E968=""),"",IF(ISNA(MATCH(E968,Units!$A$2:$A$501,0)),"",IF(INDEX(Units!$E$2:$E$501,MATCH(E968,Units!$A$2:$A$501,0))="","",IF(K968="","No due date",IF(INT(K968)&gt;INDEX(Units!$E$2:$E$501,MATCH(E968,Units!$A$2:$A$501,0)),"Past cal date","OK")))))</f>
      </c>
      <c r="R968" s="37">
        <f>IF(A968="Overdue",K968+ROW()/10000000,"")</f>
      </c>
    </row>
    <row r="969">
      <c r="A969" s="38">
        <f>IF(C969="","",IF(B969="","Needs ID",IF(OR(C969="loan",C969="send_out"),IF(COUNTIF($L$2:$L$1001,B969)&gt;0,"Closed",IF(K969="","Open",IF(K969&lt;NOW(),"Overdue","Open"))),IF(C969="return",IF(OR(L969="",COUNTIF($B$2:$B$1001,L969)=0),"No match",IF(OR(M969="worn",M969="damaged"),"Quarantine","Returned")),IF(C969="issue","Issued",IF(C969="transfer","Moved",IF(C969="write_off","Written off",IF(C969="unfilled","Unfilled",""))))))))</f>
      </c>
      <c r="B969" s="31"/>
      <c r="C969" s="35"/>
      <c r="D969" s="33"/>
      <c r="E969" s="31"/>
      <c r="F969" s="31"/>
      <c r="G969" s="37">
        <f>IF(F969="","",IF(ISNA(MATCH(F969,'Item master'!$A$2:$A$301,0)),"Not in Item master",IFERROR(INDEX('Item master'!$B$2:$B$301,MATCH(F969,'Item master'!$A$2:$A$301,0))&amp;"","")))</f>
      </c>
      <c r="H969" s="34"/>
      <c r="I969" s="31"/>
      <c r="J969" s="31"/>
      <c r="K969" s="33"/>
      <c r="L969" s="31"/>
      <c r="M969" s="35"/>
      <c r="N969" s="30"/>
      <c r="O969" s="30"/>
      <c r="P969" s="36"/>
      <c r="Q969" s="38">
        <f>IF(OR(C969&lt;&gt;"loan",E969=""),"",IF(ISNA(MATCH(E969,Units!$A$2:$A$501,0)),"",IF(INDEX(Units!$E$2:$E$501,MATCH(E969,Units!$A$2:$A$501,0))="","",IF(K969="","No due date",IF(INT(K969)&gt;INDEX(Units!$E$2:$E$501,MATCH(E969,Units!$A$2:$A$501,0)),"Past cal date","OK")))))</f>
      </c>
      <c r="R969" s="37">
        <f>IF(A969="Overdue",K969+ROW()/10000000,"")</f>
      </c>
    </row>
    <row r="970">
      <c r="A970" s="38">
        <f>IF(C970="","",IF(B970="","Needs ID",IF(OR(C970="loan",C970="send_out"),IF(COUNTIF($L$2:$L$1001,B970)&gt;0,"Closed",IF(K970="","Open",IF(K970&lt;NOW(),"Overdue","Open"))),IF(C970="return",IF(OR(L970="",COUNTIF($B$2:$B$1001,L970)=0),"No match",IF(OR(M970="worn",M970="damaged"),"Quarantine","Returned")),IF(C970="issue","Issued",IF(C970="transfer","Moved",IF(C970="write_off","Written off",IF(C970="unfilled","Unfilled",""))))))))</f>
      </c>
      <c r="B970" s="31"/>
      <c r="C970" s="35"/>
      <c r="D970" s="33"/>
      <c r="E970" s="31"/>
      <c r="F970" s="31"/>
      <c r="G970" s="37">
        <f>IF(F970="","",IF(ISNA(MATCH(F970,'Item master'!$A$2:$A$301,0)),"Not in Item master",IFERROR(INDEX('Item master'!$B$2:$B$301,MATCH(F970,'Item master'!$A$2:$A$301,0))&amp;"","")))</f>
      </c>
      <c r="H970" s="34"/>
      <c r="I970" s="31"/>
      <c r="J970" s="31"/>
      <c r="K970" s="33"/>
      <c r="L970" s="31"/>
      <c r="M970" s="35"/>
      <c r="N970" s="30"/>
      <c r="O970" s="30"/>
      <c r="P970" s="36"/>
      <c r="Q970" s="38">
        <f>IF(OR(C970&lt;&gt;"loan",E970=""),"",IF(ISNA(MATCH(E970,Units!$A$2:$A$501,0)),"",IF(INDEX(Units!$E$2:$E$501,MATCH(E970,Units!$A$2:$A$501,0))="","",IF(K970="","No due date",IF(INT(K970)&gt;INDEX(Units!$E$2:$E$501,MATCH(E970,Units!$A$2:$A$501,0)),"Past cal date","OK")))))</f>
      </c>
      <c r="R970" s="37">
        <f>IF(A970="Overdue",K970+ROW()/10000000,"")</f>
      </c>
    </row>
    <row r="971">
      <c r="A971" s="38">
        <f>IF(C971="","",IF(B971="","Needs ID",IF(OR(C971="loan",C971="send_out"),IF(COUNTIF($L$2:$L$1001,B971)&gt;0,"Closed",IF(K971="","Open",IF(K971&lt;NOW(),"Overdue","Open"))),IF(C971="return",IF(OR(L971="",COUNTIF($B$2:$B$1001,L971)=0),"No match",IF(OR(M971="worn",M971="damaged"),"Quarantine","Returned")),IF(C971="issue","Issued",IF(C971="transfer","Moved",IF(C971="write_off","Written off",IF(C971="unfilled","Unfilled",""))))))))</f>
      </c>
      <c r="B971" s="31"/>
      <c r="C971" s="35"/>
      <c r="D971" s="33"/>
      <c r="E971" s="31"/>
      <c r="F971" s="31"/>
      <c r="G971" s="37">
        <f>IF(F971="","",IF(ISNA(MATCH(F971,'Item master'!$A$2:$A$301,0)),"Not in Item master",IFERROR(INDEX('Item master'!$B$2:$B$301,MATCH(F971,'Item master'!$A$2:$A$301,0))&amp;"","")))</f>
      </c>
      <c r="H971" s="34"/>
      <c r="I971" s="31"/>
      <c r="J971" s="31"/>
      <c r="K971" s="33"/>
      <c r="L971" s="31"/>
      <c r="M971" s="35"/>
      <c r="N971" s="30"/>
      <c r="O971" s="30"/>
      <c r="P971" s="36"/>
      <c r="Q971" s="38">
        <f>IF(OR(C971&lt;&gt;"loan",E971=""),"",IF(ISNA(MATCH(E971,Units!$A$2:$A$501,0)),"",IF(INDEX(Units!$E$2:$E$501,MATCH(E971,Units!$A$2:$A$501,0))="","",IF(K971="","No due date",IF(INT(K971)&gt;INDEX(Units!$E$2:$E$501,MATCH(E971,Units!$A$2:$A$501,0)),"Past cal date","OK")))))</f>
      </c>
      <c r="R971" s="37">
        <f>IF(A971="Overdue",K971+ROW()/10000000,"")</f>
      </c>
    </row>
    <row r="972">
      <c r="A972" s="38">
        <f>IF(C972="","",IF(B972="","Needs ID",IF(OR(C972="loan",C972="send_out"),IF(COUNTIF($L$2:$L$1001,B972)&gt;0,"Closed",IF(K972="","Open",IF(K972&lt;NOW(),"Overdue","Open"))),IF(C972="return",IF(OR(L972="",COUNTIF($B$2:$B$1001,L972)=0),"No match",IF(OR(M972="worn",M972="damaged"),"Quarantine","Returned")),IF(C972="issue","Issued",IF(C972="transfer","Moved",IF(C972="write_off","Written off",IF(C972="unfilled","Unfilled",""))))))))</f>
      </c>
      <c r="B972" s="31"/>
      <c r="C972" s="35"/>
      <c r="D972" s="33"/>
      <c r="E972" s="31"/>
      <c r="F972" s="31"/>
      <c r="G972" s="37">
        <f>IF(F972="","",IF(ISNA(MATCH(F972,'Item master'!$A$2:$A$301,0)),"Not in Item master",IFERROR(INDEX('Item master'!$B$2:$B$301,MATCH(F972,'Item master'!$A$2:$A$301,0))&amp;"","")))</f>
      </c>
      <c r="H972" s="34"/>
      <c r="I972" s="31"/>
      <c r="J972" s="31"/>
      <c r="K972" s="33"/>
      <c r="L972" s="31"/>
      <c r="M972" s="35"/>
      <c r="N972" s="30"/>
      <c r="O972" s="30"/>
      <c r="P972" s="36"/>
      <c r="Q972" s="38">
        <f>IF(OR(C972&lt;&gt;"loan",E972=""),"",IF(ISNA(MATCH(E972,Units!$A$2:$A$501,0)),"",IF(INDEX(Units!$E$2:$E$501,MATCH(E972,Units!$A$2:$A$501,0))="","",IF(K972="","No due date",IF(INT(K972)&gt;INDEX(Units!$E$2:$E$501,MATCH(E972,Units!$A$2:$A$501,0)),"Past cal date","OK")))))</f>
      </c>
      <c r="R972" s="37">
        <f>IF(A972="Overdue",K972+ROW()/10000000,"")</f>
      </c>
    </row>
    <row r="973">
      <c r="A973" s="38">
        <f>IF(C973="","",IF(B973="","Needs ID",IF(OR(C973="loan",C973="send_out"),IF(COUNTIF($L$2:$L$1001,B973)&gt;0,"Closed",IF(K973="","Open",IF(K973&lt;NOW(),"Overdue","Open"))),IF(C973="return",IF(OR(L973="",COUNTIF($B$2:$B$1001,L973)=0),"No match",IF(OR(M973="worn",M973="damaged"),"Quarantine","Returned")),IF(C973="issue","Issued",IF(C973="transfer","Moved",IF(C973="write_off","Written off",IF(C973="unfilled","Unfilled",""))))))))</f>
      </c>
      <c r="B973" s="31"/>
      <c r="C973" s="35"/>
      <c r="D973" s="33"/>
      <c r="E973" s="31"/>
      <c r="F973" s="31"/>
      <c r="G973" s="37">
        <f>IF(F973="","",IF(ISNA(MATCH(F973,'Item master'!$A$2:$A$301,0)),"Not in Item master",IFERROR(INDEX('Item master'!$B$2:$B$301,MATCH(F973,'Item master'!$A$2:$A$301,0))&amp;"","")))</f>
      </c>
      <c r="H973" s="34"/>
      <c r="I973" s="31"/>
      <c r="J973" s="31"/>
      <c r="K973" s="33"/>
      <c r="L973" s="31"/>
      <c r="M973" s="35"/>
      <c r="N973" s="30"/>
      <c r="O973" s="30"/>
      <c r="P973" s="36"/>
      <c r="Q973" s="38">
        <f>IF(OR(C973&lt;&gt;"loan",E973=""),"",IF(ISNA(MATCH(E973,Units!$A$2:$A$501,0)),"",IF(INDEX(Units!$E$2:$E$501,MATCH(E973,Units!$A$2:$A$501,0))="","",IF(K973="","No due date",IF(INT(K973)&gt;INDEX(Units!$E$2:$E$501,MATCH(E973,Units!$A$2:$A$501,0)),"Past cal date","OK")))))</f>
      </c>
      <c r="R973" s="37">
        <f>IF(A973="Overdue",K973+ROW()/10000000,"")</f>
      </c>
    </row>
    <row r="974">
      <c r="A974" s="38">
        <f>IF(C974="","",IF(B974="","Needs ID",IF(OR(C974="loan",C974="send_out"),IF(COUNTIF($L$2:$L$1001,B974)&gt;0,"Closed",IF(K974="","Open",IF(K974&lt;NOW(),"Overdue","Open"))),IF(C974="return",IF(OR(L974="",COUNTIF($B$2:$B$1001,L974)=0),"No match",IF(OR(M974="worn",M974="damaged"),"Quarantine","Returned")),IF(C974="issue","Issued",IF(C974="transfer","Moved",IF(C974="write_off","Written off",IF(C974="unfilled","Unfilled",""))))))))</f>
      </c>
      <c r="B974" s="31"/>
      <c r="C974" s="35"/>
      <c r="D974" s="33"/>
      <c r="E974" s="31"/>
      <c r="F974" s="31"/>
      <c r="G974" s="37">
        <f>IF(F974="","",IF(ISNA(MATCH(F974,'Item master'!$A$2:$A$301,0)),"Not in Item master",IFERROR(INDEX('Item master'!$B$2:$B$301,MATCH(F974,'Item master'!$A$2:$A$301,0))&amp;"","")))</f>
      </c>
      <c r="H974" s="34"/>
      <c r="I974" s="31"/>
      <c r="J974" s="31"/>
      <c r="K974" s="33"/>
      <c r="L974" s="31"/>
      <c r="M974" s="35"/>
      <c r="N974" s="30"/>
      <c r="O974" s="30"/>
      <c r="P974" s="36"/>
      <c r="Q974" s="38">
        <f>IF(OR(C974&lt;&gt;"loan",E974=""),"",IF(ISNA(MATCH(E974,Units!$A$2:$A$501,0)),"",IF(INDEX(Units!$E$2:$E$501,MATCH(E974,Units!$A$2:$A$501,0))="","",IF(K974="","No due date",IF(INT(K974)&gt;INDEX(Units!$E$2:$E$501,MATCH(E974,Units!$A$2:$A$501,0)),"Past cal date","OK")))))</f>
      </c>
      <c r="R974" s="37">
        <f>IF(A974="Overdue",K974+ROW()/10000000,"")</f>
      </c>
    </row>
    <row r="975">
      <c r="A975" s="38">
        <f>IF(C975="","",IF(B975="","Needs ID",IF(OR(C975="loan",C975="send_out"),IF(COUNTIF($L$2:$L$1001,B975)&gt;0,"Closed",IF(K975="","Open",IF(K975&lt;NOW(),"Overdue","Open"))),IF(C975="return",IF(OR(L975="",COUNTIF($B$2:$B$1001,L975)=0),"No match",IF(OR(M975="worn",M975="damaged"),"Quarantine","Returned")),IF(C975="issue","Issued",IF(C975="transfer","Moved",IF(C975="write_off","Written off",IF(C975="unfilled","Unfilled",""))))))))</f>
      </c>
      <c r="B975" s="31"/>
      <c r="C975" s="35"/>
      <c r="D975" s="33"/>
      <c r="E975" s="31"/>
      <c r="F975" s="31"/>
      <c r="G975" s="37">
        <f>IF(F975="","",IF(ISNA(MATCH(F975,'Item master'!$A$2:$A$301,0)),"Not in Item master",IFERROR(INDEX('Item master'!$B$2:$B$301,MATCH(F975,'Item master'!$A$2:$A$301,0))&amp;"","")))</f>
      </c>
      <c r="H975" s="34"/>
      <c r="I975" s="31"/>
      <c r="J975" s="31"/>
      <c r="K975" s="33"/>
      <c r="L975" s="31"/>
      <c r="M975" s="35"/>
      <c r="N975" s="30"/>
      <c r="O975" s="30"/>
      <c r="P975" s="36"/>
      <c r="Q975" s="38">
        <f>IF(OR(C975&lt;&gt;"loan",E975=""),"",IF(ISNA(MATCH(E975,Units!$A$2:$A$501,0)),"",IF(INDEX(Units!$E$2:$E$501,MATCH(E975,Units!$A$2:$A$501,0))="","",IF(K975="","No due date",IF(INT(K975)&gt;INDEX(Units!$E$2:$E$501,MATCH(E975,Units!$A$2:$A$501,0)),"Past cal date","OK")))))</f>
      </c>
      <c r="R975" s="37">
        <f>IF(A975="Overdue",K975+ROW()/10000000,"")</f>
      </c>
    </row>
    <row r="976">
      <c r="A976" s="38">
        <f>IF(C976="","",IF(B976="","Needs ID",IF(OR(C976="loan",C976="send_out"),IF(COUNTIF($L$2:$L$1001,B976)&gt;0,"Closed",IF(K976="","Open",IF(K976&lt;NOW(),"Overdue","Open"))),IF(C976="return",IF(OR(L976="",COUNTIF($B$2:$B$1001,L976)=0),"No match",IF(OR(M976="worn",M976="damaged"),"Quarantine","Returned")),IF(C976="issue","Issued",IF(C976="transfer","Moved",IF(C976="write_off","Written off",IF(C976="unfilled","Unfilled",""))))))))</f>
      </c>
      <c r="B976" s="31"/>
      <c r="C976" s="35"/>
      <c r="D976" s="33"/>
      <c r="E976" s="31"/>
      <c r="F976" s="31"/>
      <c r="G976" s="37">
        <f>IF(F976="","",IF(ISNA(MATCH(F976,'Item master'!$A$2:$A$301,0)),"Not in Item master",IFERROR(INDEX('Item master'!$B$2:$B$301,MATCH(F976,'Item master'!$A$2:$A$301,0))&amp;"","")))</f>
      </c>
      <c r="H976" s="34"/>
      <c r="I976" s="31"/>
      <c r="J976" s="31"/>
      <c r="K976" s="33"/>
      <c r="L976" s="31"/>
      <c r="M976" s="35"/>
      <c r="N976" s="30"/>
      <c r="O976" s="30"/>
      <c r="P976" s="36"/>
      <c r="Q976" s="38">
        <f>IF(OR(C976&lt;&gt;"loan",E976=""),"",IF(ISNA(MATCH(E976,Units!$A$2:$A$501,0)),"",IF(INDEX(Units!$E$2:$E$501,MATCH(E976,Units!$A$2:$A$501,0))="","",IF(K976="","No due date",IF(INT(K976)&gt;INDEX(Units!$E$2:$E$501,MATCH(E976,Units!$A$2:$A$501,0)),"Past cal date","OK")))))</f>
      </c>
      <c r="R976" s="37">
        <f>IF(A976="Overdue",K976+ROW()/10000000,"")</f>
      </c>
    </row>
    <row r="977">
      <c r="A977" s="38">
        <f>IF(C977="","",IF(B977="","Needs ID",IF(OR(C977="loan",C977="send_out"),IF(COUNTIF($L$2:$L$1001,B977)&gt;0,"Closed",IF(K977="","Open",IF(K977&lt;NOW(),"Overdue","Open"))),IF(C977="return",IF(OR(L977="",COUNTIF($B$2:$B$1001,L977)=0),"No match",IF(OR(M977="worn",M977="damaged"),"Quarantine","Returned")),IF(C977="issue","Issued",IF(C977="transfer","Moved",IF(C977="write_off","Written off",IF(C977="unfilled","Unfilled",""))))))))</f>
      </c>
      <c r="B977" s="31"/>
      <c r="C977" s="35"/>
      <c r="D977" s="33"/>
      <c r="E977" s="31"/>
      <c r="F977" s="31"/>
      <c r="G977" s="37">
        <f>IF(F977="","",IF(ISNA(MATCH(F977,'Item master'!$A$2:$A$301,0)),"Not in Item master",IFERROR(INDEX('Item master'!$B$2:$B$301,MATCH(F977,'Item master'!$A$2:$A$301,0))&amp;"","")))</f>
      </c>
      <c r="H977" s="34"/>
      <c r="I977" s="31"/>
      <c r="J977" s="31"/>
      <c r="K977" s="33"/>
      <c r="L977" s="31"/>
      <c r="M977" s="35"/>
      <c r="N977" s="30"/>
      <c r="O977" s="30"/>
      <c r="P977" s="36"/>
      <c r="Q977" s="38">
        <f>IF(OR(C977&lt;&gt;"loan",E977=""),"",IF(ISNA(MATCH(E977,Units!$A$2:$A$501,0)),"",IF(INDEX(Units!$E$2:$E$501,MATCH(E977,Units!$A$2:$A$501,0))="","",IF(K977="","No due date",IF(INT(K977)&gt;INDEX(Units!$E$2:$E$501,MATCH(E977,Units!$A$2:$A$501,0)),"Past cal date","OK")))))</f>
      </c>
      <c r="R977" s="37">
        <f>IF(A977="Overdue",K977+ROW()/10000000,"")</f>
      </c>
    </row>
    <row r="978">
      <c r="A978" s="38">
        <f>IF(C978="","",IF(B978="","Needs ID",IF(OR(C978="loan",C978="send_out"),IF(COUNTIF($L$2:$L$1001,B978)&gt;0,"Closed",IF(K978="","Open",IF(K978&lt;NOW(),"Overdue","Open"))),IF(C978="return",IF(OR(L978="",COUNTIF($B$2:$B$1001,L978)=0),"No match",IF(OR(M978="worn",M978="damaged"),"Quarantine","Returned")),IF(C978="issue","Issued",IF(C978="transfer","Moved",IF(C978="write_off","Written off",IF(C978="unfilled","Unfilled",""))))))))</f>
      </c>
      <c r="B978" s="31"/>
      <c r="C978" s="35"/>
      <c r="D978" s="33"/>
      <c r="E978" s="31"/>
      <c r="F978" s="31"/>
      <c r="G978" s="37">
        <f>IF(F978="","",IF(ISNA(MATCH(F978,'Item master'!$A$2:$A$301,0)),"Not in Item master",IFERROR(INDEX('Item master'!$B$2:$B$301,MATCH(F978,'Item master'!$A$2:$A$301,0))&amp;"","")))</f>
      </c>
      <c r="H978" s="34"/>
      <c r="I978" s="31"/>
      <c r="J978" s="31"/>
      <c r="K978" s="33"/>
      <c r="L978" s="31"/>
      <c r="M978" s="35"/>
      <c r="N978" s="30"/>
      <c r="O978" s="30"/>
      <c r="P978" s="36"/>
      <c r="Q978" s="38">
        <f>IF(OR(C978&lt;&gt;"loan",E978=""),"",IF(ISNA(MATCH(E978,Units!$A$2:$A$501,0)),"",IF(INDEX(Units!$E$2:$E$501,MATCH(E978,Units!$A$2:$A$501,0))="","",IF(K978="","No due date",IF(INT(K978)&gt;INDEX(Units!$E$2:$E$501,MATCH(E978,Units!$A$2:$A$501,0)),"Past cal date","OK")))))</f>
      </c>
      <c r="R978" s="37">
        <f>IF(A978="Overdue",K978+ROW()/10000000,"")</f>
      </c>
    </row>
    <row r="979">
      <c r="A979" s="38">
        <f>IF(C979="","",IF(B979="","Needs ID",IF(OR(C979="loan",C979="send_out"),IF(COUNTIF($L$2:$L$1001,B979)&gt;0,"Closed",IF(K979="","Open",IF(K979&lt;NOW(),"Overdue","Open"))),IF(C979="return",IF(OR(L979="",COUNTIF($B$2:$B$1001,L979)=0),"No match",IF(OR(M979="worn",M979="damaged"),"Quarantine","Returned")),IF(C979="issue","Issued",IF(C979="transfer","Moved",IF(C979="write_off","Written off",IF(C979="unfilled","Unfilled",""))))))))</f>
      </c>
      <c r="B979" s="31"/>
      <c r="C979" s="35"/>
      <c r="D979" s="33"/>
      <c r="E979" s="31"/>
      <c r="F979" s="31"/>
      <c r="G979" s="37">
        <f>IF(F979="","",IF(ISNA(MATCH(F979,'Item master'!$A$2:$A$301,0)),"Not in Item master",IFERROR(INDEX('Item master'!$B$2:$B$301,MATCH(F979,'Item master'!$A$2:$A$301,0))&amp;"","")))</f>
      </c>
      <c r="H979" s="34"/>
      <c r="I979" s="31"/>
      <c r="J979" s="31"/>
      <c r="K979" s="33"/>
      <c r="L979" s="31"/>
      <c r="M979" s="35"/>
      <c r="N979" s="30"/>
      <c r="O979" s="30"/>
      <c r="P979" s="36"/>
      <c r="Q979" s="38">
        <f>IF(OR(C979&lt;&gt;"loan",E979=""),"",IF(ISNA(MATCH(E979,Units!$A$2:$A$501,0)),"",IF(INDEX(Units!$E$2:$E$501,MATCH(E979,Units!$A$2:$A$501,0))="","",IF(K979="","No due date",IF(INT(K979)&gt;INDEX(Units!$E$2:$E$501,MATCH(E979,Units!$A$2:$A$501,0)),"Past cal date","OK")))))</f>
      </c>
      <c r="R979" s="37">
        <f>IF(A979="Overdue",K979+ROW()/10000000,"")</f>
      </c>
    </row>
    <row r="980">
      <c r="A980" s="38">
        <f>IF(C980="","",IF(B980="","Needs ID",IF(OR(C980="loan",C980="send_out"),IF(COUNTIF($L$2:$L$1001,B980)&gt;0,"Closed",IF(K980="","Open",IF(K980&lt;NOW(),"Overdue","Open"))),IF(C980="return",IF(OR(L980="",COUNTIF($B$2:$B$1001,L980)=0),"No match",IF(OR(M980="worn",M980="damaged"),"Quarantine","Returned")),IF(C980="issue","Issued",IF(C980="transfer","Moved",IF(C980="write_off","Written off",IF(C980="unfilled","Unfilled",""))))))))</f>
      </c>
      <c r="B980" s="31"/>
      <c r="C980" s="35"/>
      <c r="D980" s="33"/>
      <c r="E980" s="31"/>
      <c r="F980" s="31"/>
      <c r="G980" s="37">
        <f>IF(F980="","",IF(ISNA(MATCH(F980,'Item master'!$A$2:$A$301,0)),"Not in Item master",IFERROR(INDEX('Item master'!$B$2:$B$301,MATCH(F980,'Item master'!$A$2:$A$301,0))&amp;"","")))</f>
      </c>
      <c r="H980" s="34"/>
      <c r="I980" s="31"/>
      <c r="J980" s="31"/>
      <c r="K980" s="33"/>
      <c r="L980" s="31"/>
      <c r="M980" s="35"/>
      <c r="N980" s="30"/>
      <c r="O980" s="30"/>
      <c r="P980" s="36"/>
      <c r="Q980" s="38">
        <f>IF(OR(C980&lt;&gt;"loan",E980=""),"",IF(ISNA(MATCH(E980,Units!$A$2:$A$501,0)),"",IF(INDEX(Units!$E$2:$E$501,MATCH(E980,Units!$A$2:$A$501,0))="","",IF(K980="","No due date",IF(INT(K980)&gt;INDEX(Units!$E$2:$E$501,MATCH(E980,Units!$A$2:$A$501,0)),"Past cal date","OK")))))</f>
      </c>
      <c r="R980" s="37">
        <f>IF(A980="Overdue",K980+ROW()/10000000,"")</f>
      </c>
    </row>
    <row r="981">
      <c r="A981" s="38">
        <f>IF(C981="","",IF(B981="","Needs ID",IF(OR(C981="loan",C981="send_out"),IF(COUNTIF($L$2:$L$1001,B981)&gt;0,"Closed",IF(K981="","Open",IF(K981&lt;NOW(),"Overdue","Open"))),IF(C981="return",IF(OR(L981="",COUNTIF($B$2:$B$1001,L981)=0),"No match",IF(OR(M981="worn",M981="damaged"),"Quarantine","Returned")),IF(C981="issue","Issued",IF(C981="transfer","Moved",IF(C981="write_off","Written off",IF(C981="unfilled","Unfilled",""))))))))</f>
      </c>
      <c r="B981" s="31"/>
      <c r="C981" s="35"/>
      <c r="D981" s="33"/>
      <c r="E981" s="31"/>
      <c r="F981" s="31"/>
      <c r="G981" s="37">
        <f>IF(F981="","",IF(ISNA(MATCH(F981,'Item master'!$A$2:$A$301,0)),"Not in Item master",IFERROR(INDEX('Item master'!$B$2:$B$301,MATCH(F981,'Item master'!$A$2:$A$301,0))&amp;"","")))</f>
      </c>
      <c r="H981" s="34"/>
      <c r="I981" s="31"/>
      <c r="J981" s="31"/>
      <c r="K981" s="33"/>
      <c r="L981" s="31"/>
      <c r="M981" s="35"/>
      <c r="N981" s="30"/>
      <c r="O981" s="30"/>
      <c r="P981" s="36"/>
      <c r="Q981" s="38">
        <f>IF(OR(C981&lt;&gt;"loan",E981=""),"",IF(ISNA(MATCH(E981,Units!$A$2:$A$501,0)),"",IF(INDEX(Units!$E$2:$E$501,MATCH(E981,Units!$A$2:$A$501,0))="","",IF(K981="","No due date",IF(INT(K981)&gt;INDEX(Units!$E$2:$E$501,MATCH(E981,Units!$A$2:$A$501,0)),"Past cal date","OK")))))</f>
      </c>
      <c r="R981" s="37">
        <f>IF(A981="Overdue",K981+ROW()/10000000,"")</f>
      </c>
    </row>
    <row r="982">
      <c r="A982" s="38">
        <f>IF(C982="","",IF(B982="","Needs ID",IF(OR(C982="loan",C982="send_out"),IF(COUNTIF($L$2:$L$1001,B982)&gt;0,"Closed",IF(K982="","Open",IF(K982&lt;NOW(),"Overdue","Open"))),IF(C982="return",IF(OR(L982="",COUNTIF($B$2:$B$1001,L982)=0),"No match",IF(OR(M982="worn",M982="damaged"),"Quarantine","Returned")),IF(C982="issue","Issued",IF(C982="transfer","Moved",IF(C982="write_off","Written off",IF(C982="unfilled","Unfilled",""))))))))</f>
      </c>
      <c r="B982" s="31"/>
      <c r="C982" s="35"/>
      <c r="D982" s="33"/>
      <c r="E982" s="31"/>
      <c r="F982" s="31"/>
      <c r="G982" s="37">
        <f>IF(F982="","",IF(ISNA(MATCH(F982,'Item master'!$A$2:$A$301,0)),"Not in Item master",IFERROR(INDEX('Item master'!$B$2:$B$301,MATCH(F982,'Item master'!$A$2:$A$301,0))&amp;"","")))</f>
      </c>
      <c r="H982" s="34"/>
      <c r="I982" s="31"/>
      <c r="J982" s="31"/>
      <c r="K982" s="33"/>
      <c r="L982" s="31"/>
      <c r="M982" s="35"/>
      <c r="N982" s="30"/>
      <c r="O982" s="30"/>
      <c r="P982" s="36"/>
      <c r="Q982" s="38">
        <f>IF(OR(C982&lt;&gt;"loan",E982=""),"",IF(ISNA(MATCH(E982,Units!$A$2:$A$501,0)),"",IF(INDEX(Units!$E$2:$E$501,MATCH(E982,Units!$A$2:$A$501,0))="","",IF(K982="","No due date",IF(INT(K982)&gt;INDEX(Units!$E$2:$E$501,MATCH(E982,Units!$A$2:$A$501,0)),"Past cal date","OK")))))</f>
      </c>
      <c r="R982" s="37">
        <f>IF(A982="Overdue",K982+ROW()/10000000,"")</f>
      </c>
    </row>
    <row r="983">
      <c r="A983" s="38">
        <f>IF(C983="","",IF(B983="","Needs ID",IF(OR(C983="loan",C983="send_out"),IF(COUNTIF($L$2:$L$1001,B983)&gt;0,"Closed",IF(K983="","Open",IF(K983&lt;NOW(),"Overdue","Open"))),IF(C983="return",IF(OR(L983="",COUNTIF($B$2:$B$1001,L983)=0),"No match",IF(OR(M983="worn",M983="damaged"),"Quarantine","Returned")),IF(C983="issue","Issued",IF(C983="transfer","Moved",IF(C983="write_off","Written off",IF(C983="unfilled","Unfilled",""))))))))</f>
      </c>
      <c r="B983" s="31"/>
      <c r="C983" s="35"/>
      <c r="D983" s="33"/>
      <c r="E983" s="31"/>
      <c r="F983" s="31"/>
      <c r="G983" s="37">
        <f>IF(F983="","",IF(ISNA(MATCH(F983,'Item master'!$A$2:$A$301,0)),"Not in Item master",IFERROR(INDEX('Item master'!$B$2:$B$301,MATCH(F983,'Item master'!$A$2:$A$301,0))&amp;"","")))</f>
      </c>
      <c r="H983" s="34"/>
      <c r="I983" s="31"/>
      <c r="J983" s="31"/>
      <c r="K983" s="33"/>
      <c r="L983" s="31"/>
      <c r="M983" s="35"/>
      <c r="N983" s="30"/>
      <c r="O983" s="30"/>
      <c r="P983" s="36"/>
      <c r="Q983" s="38">
        <f>IF(OR(C983&lt;&gt;"loan",E983=""),"",IF(ISNA(MATCH(E983,Units!$A$2:$A$501,0)),"",IF(INDEX(Units!$E$2:$E$501,MATCH(E983,Units!$A$2:$A$501,0))="","",IF(K983="","No due date",IF(INT(K983)&gt;INDEX(Units!$E$2:$E$501,MATCH(E983,Units!$A$2:$A$501,0)),"Past cal date","OK")))))</f>
      </c>
      <c r="R983" s="37">
        <f>IF(A983="Overdue",K983+ROW()/10000000,"")</f>
      </c>
    </row>
    <row r="984">
      <c r="A984" s="38">
        <f>IF(C984="","",IF(B984="","Needs ID",IF(OR(C984="loan",C984="send_out"),IF(COUNTIF($L$2:$L$1001,B984)&gt;0,"Closed",IF(K984="","Open",IF(K984&lt;NOW(),"Overdue","Open"))),IF(C984="return",IF(OR(L984="",COUNTIF($B$2:$B$1001,L984)=0),"No match",IF(OR(M984="worn",M984="damaged"),"Quarantine","Returned")),IF(C984="issue","Issued",IF(C984="transfer","Moved",IF(C984="write_off","Written off",IF(C984="unfilled","Unfilled",""))))))))</f>
      </c>
      <c r="B984" s="31"/>
      <c r="C984" s="35"/>
      <c r="D984" s="33"/>
      <c r="E984" s="31"/>
      <c r="F984" s="31"/>
      <c r="G984" s="37">
        <f>IF(F984="","",IF(ISNA(MATCH(F984,'Item master'!$A$2:$A$301,0)),"Not in Item master",IFERROR(INDEX('Item master'!$B$2:$B$301,MATCH(F984,'Item master'!$A$2:$A$301,0))&amp;"","")))</f>
      </c>
      <c r="H984" s="34"/>
      <c r="I984" s="31"/>
      <c r="J984" s="31"/>
      <c r="K984" s="33"/>
      <c r="L984" s="31"/>
      <c r="M984" s="35"/>
      <c r="N984" s="30"/>
      <c r="O984" s="30"/>
      <c r="P984" s="36"/>
      <c r="Q984" s="38">
        <f>IF(OR(C984&lt;&gt;"loan",E984=""),"",IF(ISNA(MATCH(E984,Units!$A$2:$A$501,0)),"",IF(INDEX(Units!$E$2:$E$501,MATCH(E984,Units!$A$2:$A$501,0))="","",IF(K984="","No due date",IF(INT(K984)&gt;INDEX(Units!$E$2:$E$501,MATCH(E984,Units!$A$2:$A$501,0)),"Past cal date","OK")))))</f>
      </c>
      <c r="R984" s="37">
        <f>IF(A984="Overdue",K984+ROW()/10000000,"")</f>
      </c>
    </row>
    <row r="985">
      <c r="A985" s="38">
        <f>IF(C985="","",IF(B985="","Needs ID",IF(OR(C985="loan",C985="send_out"),IF(COUNTIF($L$2:$L$1001,B985)&gt;0,"Closed",IF(K985="","Open",IF(K985&lt;NOW(),"Overdue","Open"))),IF(C985="return",IF(OR(L985="",COUNTIF($B$2:$B$1001,L985)=0),"No match",IF(OR(M985="worn",M985="damaged"),"Quarantine","Returned")),IF(C985="issue","Issued",IF(C985="transfer","Moved",IF(C985="write_off","Written off",IF(C985="unfilled","Unfilled",""))))))))</f>
      </c>
      <c r="B985" s="31"/>
      <c r="C985" s="35"/>
      <c r="D985" s="33"/>
      <c r="E985" s="31"/>
      <c r="F985" s="31"/>
      <c r="G985" s="37">
        <f>IF(F985="","",IF(ISNA(MATCH(F985,'Item master'!$A$2:$A$301,0)),"Not in Item master",IFERROR(INDEX('Item master'!$B$2:$B$301,MATCH(F985,'Item master'!$A$2:$A$301,0))&amp;"","")))</f>
      </c>
      <c r="H985" s="34"/>
      <c r="I985" s="31"/>
      <c r="J985" s="31"/>
      <c r="K985" s="33"/>
      <c r="L985" s="31"/>
      <c r="M985" s="35"/>
      <c r="N985" s="30"/>
      <c r="O985" s="30"/>
      <c r="P985" s="36"/>
      <c r="Q985" s="38">
        <f>IF(OR(C985&lt;&gt;"loan",E985=""),"",IF(ISNA(MATCH(E985,Units!$A$2:$A$501,0)),"",IF(INDEX(Units!$E$2:$E$501,MATCH(E985,Units!$A$2:$A$501,0))="","",IF(K985="","No due date",IF(INT(K985)&gt;INDEX(Units!$E$2:$E$501,MATCH(E985,Units!$A$2:$A$501,0)),"Past cal date","OK")))))</f>
      </c>
      <c r="R985" s="37">
        <f>IF(A985="Overdue",K985+ROW()/10000000,"")</f>
      </c>
    </row>
    <row r="986">
      <c r="A986" s="38">
        <f>IF(C986="","",IF(B986="","Needs ID",IF(OR(C986="loan",C986="send_out"),IF(COUNTIF($L$2:$L$1001,B986)&gt;0,"Closed",IF(K986="","Open",IF(K986&lt;NOW(),"Overdue","Open"))),IF(C986="return",IF(OR(L986="",COUNTIF($B$2:$B$1001,L986)=0),"No match",IF(OR(M986="worn",M986="damaged"),"Quarantine","Returned")),IF(C986="issue","Issued",IF(C986="transfer","Moved",IF(C986="write_off","Written off",IF(C986="unfilled","Unfilled",""))))))))</f>
      </c>
      <c r="B986" s="31"/>
      <c r="C986" s="35"/>
      <c r="D986" s="33"/>
      <c r="E986" s="31"/>
      <c r="F986" s="31"/>
      <c r="G986" s="37">
        <f>IF(F986="","",IF(ISNA(MATCH(F986,'Item master'!$A$2:$A$301,0)),"Not in Item master",IFERROR(INDEX('Item master'!$B$2:$B$301,MATCH(F986,'Item master'!$A$2:$A$301,0))&amp;"","")))</f>
      </c>
      <c r="H986" s="34"/>
      <c r="I986" s="31"/>
      <c r="J986" s="31"/>
      <c r="K986" s="33"/>
      <c r="L986" s="31"/>
      <c r="M986" s="35"/>
      <c r="N986" s="30"/>
      <c r="O986" s="30"/>
      <c r="P986" s="36"/>
      <c r="Q986" s="38">
        <f>IF(OR(C986&lt;&gt;"loan",E986=""),"",IF(ISNA(MATCH(E986,Units!$A$2:$A$501,0)),"",IF(INDEX(Units!$E$2:$E$501,MATCH(E986,Units!$A$2:$A$501,0))="","",IF(K986="","No due date",IF(INT(K986)&gt;INDEX(Units!$E$2:$E$501,MATCH(E986,Units!$A$2:$A$501,0)),"Past cal date","OK")))))</f>
      </c>
      <c r="R986" s="37">
        <f>IF(A986="Overdue",K986+ROW()/10000000,"")</f>
      </c>
    </row>
    <row r="987">
      <c r="A987" s="38">
        <f>IF(C987="","",IF(B987="","Needs ID",IF(OR(C987="loan",C987="send_out"),IF(COUNTIF($L$2:$L$1001,B987)&gt;0,"Closed",IF(K987="","Open",IF(K987&lt;NOW(),"Overdue","Open"))),IF(C987="return",IF(OR(L987="",COUNTIF($B$2:$B$1001,L987)=0),"No match",IF(OR(M987="worn",M987="damaged"),"Quarantine","Returned")),IF(C987="issue","Issued",IF(C987="transfer","Moved",IF(C987="write_off","Written off",IF(C987="unfilled","Unfilled",""))))))))</f>
      </c>
      <c r="B987" s="31"/>
      <c r="C987" s="35"/>
      <c r="D987" s="33"/>
      <c r="E987" s="31"/>
      <c r="F987" s="31"/>
      <c r="G987" s="37">
        <f>IF(F987="","",IF(ISNA(MATCH(F987,'Item master'!$A$2:$A$301,0)),"Not in Item master",IFERROR(INDEX('Item master'!$B$2:$B$301,MATCH(F987,'Item master'!$A$2:$A$301,0))&amp;"","")))</f>
      </c>
      <c r="H987" s="34"/>
      <c r="I987" s="31"/>
      <c r="J987" s="31"/>
      <c r="K987" s="33"/>
      <c r="L987" s="31"/>
      <c r="M987" s="35"/>
      <c r="N987" s="30"/>
      <c r="O987" s="30"/>
      <c r="P987" s="36"/>
      <c r="Q987" s="38">
        <f>IF(OR(C987&lt;&gt;"loan",E987=""),"",IF(ISNA(MATCH(E987,Units!$A$2:$A$501,0)),"",IF(INDEX(Units!$E$2:$E$501,MATCH(E987,Units!$A$2:$A$501,0))="","",IF(K987="","No due date",IF(INT(K987)&gt;INDEX(Units!$E$2:$E$501,MATCH(E987,Units!$A$2:$A$501,0)),"Past cal date","OK")))))</f>
      </c>
      <c r="R987" s="37">
        <f>IF(A987="Overdue",K987+ROW()/10000000,"")</f>
      </c>
    </row>
    <row r="988">
      <c r="A988" s="38">
        <f>IF(C988="","",IF(B988="","Needs ID",IF(OR(C988="loan",C988="send_out"),IF(COUNTIF($L$2:$L$1001,B988)&gt;0,"Closed",IF(K988="","Open",IF(K988&lt;NOW(),"Overdue","Open"))),IF(C988="return",IF(OR(L988="",COUNTIF($B$2:$B$1001,L988)=0),"No match",IF(OR(M988="worn",M988="damaged"),"Quarantine","Returned")),IF(C988="issue","Issued",IF(C988="transfer","Moved",IF(C988="write_off","Written off",IF(C988="unfilled","Unfilled",""))))))))</f>
      </c>
      <c r="B988" s="31"/>
      <c r="C988" s="35"/>
      <c r="D988" s="33"/>
      <c r="E988" s="31"/>
      <c r="F988" s="31"/>
      <c r="G988" s="37">
        <f>IF(F988="","",IF(ISNA(MATCH(F988,'Item master'!$A$2:$A$301,0)),"Not in Item master",IFERROR(INDEX('Item master'!$B$2:$B$301,MATCH(F988,'Item master'!$A$2:$A$301,0))&amp;"","")))</f>
      </c>
      <c r="H988" s="34"/>
      <c r="I988" s="31"/>
      <c r="J988" s="31"/>
      <c r="K988" s="33"/>
      <c r="L988" s="31"/>
      <c r="M988" s="35"/>
      <c r="N988" s="30"/>
      <c r="O988" s="30"/>
      <c r="P988" s="36"/>
      <c r="Q988" s="38">
        <f>IF(OR(C988&lt;&gt;"loan",E988=""),"",IF(ISNA(MATCH(E988,Units!$A$2:$A$501,0)),"",IF(INDEX(Units!$E$2:$E$501,MATCH(E988,Units!$A$2:$A$501,0))="","",IF(K988="","No due date",IF(INT(K988)&gt;INDEX(Units!$E$2:$E$501,MATCH(E988,Units!$A$2:$A$501,0)),"Past cal date","OK")))))</f>
      </c>
      <c r="R988" s="37">
        <f>IF(A988="Overdue",K988+ROW()/10000000,"")</f>
      </c>
    </row>
    <row r="989">
      <c r="A989" s="38">
        <f>IF(C989="","",IF(B989="","Needs ID",IF(OR(C989="loan",C989="send_out"),IF(COUNTIF($L$2:$L$1001,B989)&gt;0,"Closed",IF(K989="","Open",IF(K989&lt;NOW(),"Overdue","Open"))),IF(C989="return",IF(OR(L989="",COUNTIF($B$2:$B$1001,L989)=0),"No match",IF(OR(M989="worn",M989="damaged"),"Quarantine","Returned")),IF(C989="issue","Issued",IF(C989="transfer","Moved",IF(C989="write_off","Written off",IF(C989="unfilled","Unfilled",""))))))))</f>
      </c>
      <c r="B989" s="31"/>
      <c r="C989" s="35"/>
      <c r="D989" s="33"/>
      <c r="E989" s="31"/>
      <c r="F989" s="31"/>
      <c r="G989" s="37">
        <f>IF(F989="","",IF(ISNA(MATCH(F989,'Item master'!$A$2:$A$301,0)),"Not in Item master",IFERROR(INDEX('Item master'!$B$2:$B$301,MATCH(F989,'Item master'!$A$2:$A$301,0))&amp;"","")))</f>
      </c>
      <c r="H989" s="34"/>
      <c r="I989" s="31"/>
      <c r="J989" s="31"/>
      <c r="K989" s="33"/>
      <c r="L989" s="31"/>
      <c r="M989" s="35"/>
      <c r="N989" s="30"/>
      <c r="O989" s="30"/>
      <c r="P989" s="36"/>
      <c r="Q989" s="38">
        <f>IF(OR(C989&lt;&gt;"loan",E989=""),"",IF(ISNA(MATCH(E989,Units!$A$2:$A$501,0)),"",IF(INDEX(Units!$E$2:$E$501,MATCH(E989,Units!$A$2:$A$501,0))="","",IF(K989="","No due date",IF(INT(K989)&gt;INDEX(Units!$E$2:$E$501,MATCH(E989,Units!$A$2:$A$501,0)),"Past cal date","OK")))))</f>
      </c>
      <c r="R989" s="37">
        <f>IF(A989="Overdue",K989+ROW()/10000000,"")</f>
      </c>
    </row>
    <row r="990">
      <c r="A990" s="38">
        <f>IF(C990="","",IF(B990="","Needs ID",IF(OR(C990="loan",C990="send_out"),IF(COUNTIF($L$2:$L$1001,B990)&gt;0,"Closed",IF(K990="","Open",IF(K990&lt;NOW(),"Overdue","Open"))),IF(C990="return",IF(OR(L990="",COUNTIF($B$2:$B$1001,L990)=0),"No match",IF(OR(M990="worn",M990="damaged"),"Quarantine","Returned")),IF(C990="issue","Issued",IF(C990="transfer","Moved",IF(C990="write_off","Written off",IF(C990="unfilled","Unfilled",""))))))))</f>
      </c>
      <c r="B990" s="31"/>
      <c r="C990" s="35"/>
      <c r="D990" s="33"/>
      <c r="E990" s="31"/>
      <c r="F990" s="31"/>
      <c r="G990" s="37">
        <f>IF(F990="","",IF(ISNA(MATCH(F990,'Item master'!$A$2:$A$301,0)),"Not in Item master",IFERROR(INDEX('Item master'!$B$2:$B$301,MATCH(F990,'Item master'!$A$2:$A$301,0))&amp;"","")))</f>
      </c>
      <c r="H990" s="34"/>
      <c r="I990" s="31"/>
      <c r="J990" s="31"/>
      <c r="K990" s="33"/>
      <c r="L990" s="31"/>
      <c r="M990" s="35"/>
      <c r="N990" s="30"/>
      <c r="O990" s="30"/>
      <c r="P990" s="36"/>
      <c r="Q990" s="38">
        <f>IF(OR(C990&lt;&gt;"loan",E990=""),"",IF(ISNA(MATCH(E990,Units!$A$2:$A$501,0)),"",IF(INDEX(Units!$E$2:$E$501,MATCH(E990,Units!$A$2:$A$501,0))="","",IF(K990="","No due date",IF(INT(K990)&gt;INDEX(Units!$E$2:$E$501,MATCH(E990,Units!$A$2:$A$501,0)),"Past cal date","OK")))))</f>
      </c>
      <c r="R990" s="37">
        <f>IF(A990="Overdue",K990+ROW()/10000000,"")</f>
      </c>
    </row>
    <row r="991">
      <c r="A991" s="38">
        <f>IF(C991="","",IF(B991="","Needs ID",IF(OR(C991="loan",C991="send_out"),IF(COUNTIF($L$2:$L$1001,B991)&gt;0,"Closed",IF(K991="","Open",IF(K991&lt;NOW(),"Overdue","Open"))),IF(C991="return",IF(OR(L991="",COUNTIF($B$2:$B$1001,L991)=0),"No match",IF(OR(M991="worn",M991="damaged"),"Quarantine","Returned")),IF(C991="issue","Issued",IF(C991="transfer","Moved",IF(C991="write_off","Written off",IF(C991="unfilled","Unfilled",""))))))))</f>
      </c>
      <c r="B991" s="31"/>
      <c r="C991" s="35"/>
      <c r="D991" s="33"/>
      <c r="E991" s="31"/>
      <c r="F991" s="31"/>
      <c r="G991" s="37">
        <f>IF(F991="","",IF(ISNA(MATCH(F991,'Item master'!$A$2:$A$301,0)),"Not in Item master",IFERROR(INDEX('Item master'!$B$2:$B$301,MATCH(F991,'Item master'!$A$2:$A$301,0))&amp;"","")))</f>
      </c>
      <c r="H991" s="34"/>
      <c r="I991" s="31"/>
      <c r="J991" s="31"/>
      <c r="K991" s="33"/>
      <c r="L991" s="31"/>
      <c r="M991" s="35"/>
      <c r="N991" s="30"/>
      <c r="O991" s="30"/>
      <c r="P991" s="36"/>
      <c r="Q991" s="38">
        <f>IF(OR(C991&lt;&gt;"loan",E991=""),"",IF(ISNA(MATCH(E991,Units!$A$2:$A$501,0)),"",IF(INDEX(Units!$E$2:$E$501,MATCH(E991,Units!$A$2:$A$501,0))="","",IF(K991="","No due date",IF(INT(K991)&gt;INDEX(Units!$E$2:$E$501,MATCH(E991,Units!$A$2:$A$501,0)),"Past cal date","OK")))))</f>
      </c>
      <c r="R991" s="37">
        <f>IF(A991="Overdue",K991+ROW()/10000000,"")</f>
      </c>
    </row>
    <row r="992">
      <c r="A992" s="38">
        <f>IF(C992="","",IF(B992="","Needs ID",IF(OR(C992="loan",C992="send_out"),IF(COUNTIF($L$2:$L$1001,B992)&gt;0,"Closed",IF(K992="","Open",IF(K992&lt;NOW(),"Overdue","Open"))),IF(C992="return",IF(OR(L992="",COUNTIF($B$2:$B$1001,L992)=0),"No match",IF(OR(M992="worn",M992="damaged"),"Quarantine","Returned")),IF(C992="issue","Issued",IF(C992="transfer","Moved",IF(C992="write_off","Written off",IF(C992="unfilled","Unfilled",""))))))))</f>
      </c>
      <c r="B992" s="31"/>
      <c r="C992" s="35"/>
      <c r="D992" s="33"/>
      <c r="E992" s="31"/>
      <c r="F992" s="31"/>
      <c r="G992" s="37">
        <f>IF(F992="","",IF(ISNA(MATCH(F992,'Item master'!$A$2:$A$301,0)),"Not in Item master",IFERROR(INDEX('Item master'!$B$2:$B$301,MATCH(F992,'Item master'!$A$2:$A$301,0))&amp;"","")))</f>
      </c>
      <c r="H992" s="34"/>
      <c r="I992" s="31"/>
      <c r="J992" s="31"/>
      <c r="K992" s="33"/>
      <c r="L992" s="31"/>
      <c r="M992" s="35"/>
      <c r="N992" s="30"/>
      <c r="O992" s="30"/>
      <c r="P992" s="36"/>
      <c r="Q992" s="38">
        <f>IF(OR(C992&lt;&gt;"loan",E992=""),"",IF(ISNA(MATCH(E992,Units!$A$2:$A$501,0)),"",IF(INDEX(Units!$E$2:$E$501,MATCH(E992,Units!$A$2:$A$501,0))="","",IF(K992="","No due date",IF(INT(K992)&gt;INDEX(Units!$E$2:$E$501,MATCH(E992,Units!$A$2:$A$501,0)),"Past cal date","OK")))))</f>
      </c>
      <c r="R992" s="37">
        <f>IF(A992="Overdue",K992+ROW()/10000000,"")</f>
      </c>
    </row>
    <row r="993">
      <c r="A993" s="38">
        <f>IF(C993="","",IF(B993="","Needs ID",IF(OR(C993="loan",C993="send_out"),IF(COUNTIF($L$2:$L$1001,B993)&gt;0,"Closed",IF(K993="","Open",IF(K993&lt;NOW(),"Overdue","Open"))),IF(C993="return",IF(OR(L993="",COUNTIF($B$2:$B$1001,L993)=0),"No match",IF(OR(M993="worn",M993="damaged"),"Quarantine","Returned")),IF(C993="issue","Issued",IF(C993="transfer","Moved",IF(C993="write_off","Written off",IF(C993="unfilled","Unfilled",""))))))))</f>
      </c>
      <c r="B993" s="31"/>
      <c r="C993" s="35"/>
      <c r="D993" s="33"/>
      <c r="E993" s="31"/>
      <c r="F993" s="31"/>
      <c r="G993" s="37">
        <f>IF(F993="","",IF(ISNA(MATCH(F993,'Item master'!$A$2:$A$301,0)),"Not in Item master",IFERROR(INDEX('Item master'!$B$2:$B$301,MATCH(F993,'Item master'!$A$2:$A$301,0))&amp;"","")))</f>
      </c>
      <c r="H993" s="34"/>
      <c r="I993" s="31"/>
      <c r="J993" s="31"/>
      <c r="K993" s="33"/>
      <c r="L993" s="31"/>
      <c r="M993" s="35"/>
      <c r="N993" s="30"/>
      <c r="O993" s="30"/>
      <c r="P993" s="36"/>
      <c r="Q993" s="38">
        <f>IF(OR(C993&lt;&gt;"loan",E993=""),"",IF(ISNA(MATCH(E993,Units!$A$2:$A$501,0)),"",IF(INDEX(Units!$E$2:$E$501,MATCH(E993,Units!$A$2:$A$501,0))="","",IF(K993="","No due date",IF(INT(K993)&gt;INDEX(Units!$E$2:$E$501,MATCH(E993,Units!$A$2:$A$501,0)),"Past cal date","OK")))))</f>
      </c>
      <c r="R993" s="37">
        <f>IF(A993="Overdue",K993+ROW()/10000000,"")</f>
      </c>
    </row>
    <row r="994">
      <c r="A994" s="38">
        <f>IF(C994="","",IF(B994="","Needs ID",IF(OR(C994="loan",C994="send_out"),IF(COUNTIF($L$2:$L$1001,B994)&gt;0,"Closed",IF(K994="","Open",IF(K994&lt;NOW(),"Overdue","Open"))),IF(C994="return",IF(OR(L994="",COUNTIF($B$2:$B$1001,L994)=0),"No match",IF(OR(M994="worn",M994="damaged"),"Quarantine","Returned")),IF(C994="issue","Issued",IF(C994="transfer","Moved",IF(C994="write_off","Written off",IF(C994="unfilled","Unfilled",""))))))))</f>
      </c>
      <c r="B994" s="31"/>
      <c r="C994" s="35"/>
      <c r="D994" s="33"/>
      <c r="E994" s="31"/>
      <c r="F994" s="31"/>
      <c r="G994" s="37">
        <f>IF(F994="","",IF(ISNA(MATCH(F994,'Item master'!$A$2:$A$301,0)),"Not in Item master",IFERROR(INDEX('Item master'!$B$2:$B$301,MATCH(F994,'Item master'!$A$2:$A$301,0))&amp;"","")))</f>
      </c>
      <c r="H994" s="34"/>
      <c r="I994" s="31"/>
      <c r="J994" s="31"/>
      <c r="K994" s="33"/>
      <c r="L994" s="31"/>
      <c r="M994" s="35"/>
      <c r="N994" s="30"/>
      <c r="O994" s="30"/>
      <c r="P994" s="36"/>
      <c r="Q994" s="38">
        <f>IF(OR(C994&lt;&gt;"loan",E994=""),"",IF(ISNA(MATCH(E994,Units!$A$2:$A$501,0)),"",IF(INDEX(Units!$E$2:$E$501,MATCH(E994,Units!$A$2:$A$501,0))="","",IF(K994="","No due date",IF(INT(K994)&gt;INDEX(Units!$E$2:$E$501,MATCH(E994,Units!$A$2:$A$501,0)),"Past cal date","OK")))))</f>
      </c>
      <c r="R994" s="37">
        <f>IF(A994="Overdue",K994+ROW()/10000000,"")</f>
      </c>
    </row>
    <row r="995">
      <c r="A995" s="38">
        <f>IF(C995="","",IF(B995="","Needs ID",IF(OR(C995="loan",C995="send_out"),IF(COUNTIF($L$2:$L$1001,B995)&gt;0,"Closed",IF(K995="","Open",IF(K995&lt;NOW(),"Overdue","Open"))),IF(C995="return",IF(OR(L995="",COUNTIF($B$2:$B$1001,L995)=0),"No match",IF(OR(M995="worn",M995="damaged"),"Quarantine","Returned")),IF(C995="issue","Issued",IF(C995="transfer","Moved",IF(C995="write_off","Written off",IF(C995="unfilled","Unfilled",""))))))))</f>
      </c>
      <c r="B995" s="31"/>
      <c r="C995" s="35"/>
      <c r="D995" s="33"/>
      <c r="E995" s="31"/>
      <c r="F995" s="31"/>
      <c r="G995" s="37">
        <f>IF(F995="","",IF(ISNA(MATCH(F995,'Item master'!$A$2:$A$301,0)),"Not in Item master",IFERROR(INDEX('Item master'!$B$2:$B$301,MATCH(F995,'Item master'!$A$2:$A$301,0))&amp;"","")))</f>
      </c>
      <c r="H995" s="34"/>
      <c r="I995" s="31"/>
      <c r="J995" s="31"/>
      <c r="K995" s="33"/>
      <c r="L995" s="31"/>
      <c r="M995" s="35"/>
      <c r="N995" s="30"/>
      <c r="O995" s="30"/>
      <c r="P995" s="36"/>
      <c r="Q995" s="38">
        <f>IF(OR(C995&lt;&gt;"loan",E995=""),"",IF(ISNA(MATCH(E995,Units!$A$2:$A$501,0)),"",IF(INDEX(Units!$E$2:$E$501,MATCH(E995,Units!$A$2:$A$501,0))="","",IF(K995="","No due date",IF(INT(K995)&gt;INDEX(Units!$E$2:$E$501,MATCH(E995,Units!$A$2:$A$501,0)),"Past cal date","OK")))))</f>
      </c>
      <c r="R995" s="37">
        <f>IF(A995="Overdue",K995+ROW()/10000000,"")</f>
      </c>
    </row>
    <row r="996">
      <c r="A996" s="38">
        <f>IF(C996="","",IF(B996="","Needs ID",IF(OR(C996="loan",C996="send_out"),IF(COUNTIF($L$2:$L$1001,B996)&gt;0,"Closed",IF(K996="","Open",IF(K996&lt;NOW(),"Overdue","Open"))),IF(C996="return",IF(OR(L996="",COUNTIF($B$2:$B$1001,L996)=0),"No match",IF(OR(M996="worn",M996="damaged"),"Quarantine","Returned")),IF(C996="issue","Issued",IF(C996="transfer","Moved",IF(C996="write_off","Written off",IF(C996="unfilled","Unfilled",""))))))))</f>
      </c>
      <c r="B996" s="31"/>
      <c r="C996" s="35"/>
      <c r="D996" s="33"/>
      <c r="E996" s="31"/>
      <c r="F996" s="31"/>
      <c r="G996" s="37">
        <f>IF(F996="","",IF(ISNA(MATCH(F996,'Item master'!$A$2:$A$301,0)),"Not in Item master",IFERROR(INDEX('Item master'!$B$2:$B$301,MATCH(F996,'Item master'!$A$2:$A$301,0))&amp;"","")))</f>
      </c>
      <c r="H996" s="34"/>
      <c r="I996" s="31"/>
      <c r="J996" s="31"/>
      <c r="K996" s="33"/>
      <c r="L996" s="31"/>
      <c r="M996" s="35"/>
      <c r="N996" s="30"/>
      <c r="O996" s="30"/>
      <c r="P996" s="36"/>
      <c r="Q996" s="38">
        <f>IF(OR(C996&lt;&gt;"loan",E996=""),"",IF(ISNA(MATCH(E996,Units!$A$2:$A$501,0)),"",IF(INDEX(Units!$E$2:$E$501,MATCH(E996,Units!$A$2:$A$501,0))="","",IF(K996="","No due date",IF(INT(K996)&gt;INDEX(Units!$E$2:$E$501,MATCH(E996,Units!$A$2:$A$501,0)),"Past cal date","OK")))))</f>
      </c>
      <c r="R996" s="37">
        <f>IF(A996="Overdue",K996+ROW()/10000000,"")</f>
      </c>
    </row>
    <row r="997">
      <c r="A997" s="38">
        <f>IF(C997="","",IF(B997="","Needs ID",IF(OR(C997="loan",C997="send_out"),IF(COUNTIF($L$2:$L$1001,B997)&gt;0,"Closed",IF(K997="","Open",IF(K997&lt;NOW(),"Overdue","Open"))),IF(C997="return",IF(OR(L997="",COUNTIF($B$2:$B$1001,L997)=0),"No match",IF(OR(M997="worn",M997="damaged"),"Quarantine","Returned")),IF(C997="issue","Issued",IF(C997="transfer","Moved",IF(C997="write_off","Written off",IF(C997="unfilled","Unfilled",""))))))))</f>
      </c>
      <c r="B997" s="31"/>
      <c r="C997" s="35"/>
      <c r="D997" s="33"/>
      <c r="E997" s="31"/>
      <c r="F997" s="31"/>
      <c r="G997" s="37">
        <f>IF(F997="","",IF(ISNA(MATCH(F997,'Item master'!$A$2:$A$301,0)),"Not in Item master",IFERROR(INDEX('Item master'!$B$2:$B$301,MATCH(F997,'Item master'!$A$2:$A$301,0))&amp;"","")))</f>
      </c>
      <c r="H997" s="34"/>
      <c r="I997" s="31"/>
      <c r="J997" s="31"/>
      <c r="K997" s="33"/>
      <c r="L997" s="31"/>
      <c r="M997" s="35"/>
      <c r="N997" s="30"/>
      <c r="O997" s="30"/>
      <c r="P997" s="36"/>
      <c r="Q997" s="38">
        <f>IF(OR(C997&lt;&gt;"loan",E997=""),"",IF(ISNA(MATCH(E997,Units!$A$2:$A$501,0)),"",IF(INDEX(Units!$E$2:$E$501,MATCH(E997,Units!$A$2:$A$501,0))="","",IF(K997="","No due date",IF(INT(K997)&gt;INDEX(Units!$E$2:$E$501,MATCH(E997,Units!$A$2:$A$501,0)),"Past cal date","OK")))))</f>
      </c>
      <c r="R997" s="37">
        <f>IF(A997="Overdue",K997+ROW()/10000000,"")</f>
      </c>
    </row>
    <row r="998">
      <c r="A998" s="38">
        <f>IF(C998="","",IF(B998="","Needs ID",IF(OR(C998="loan",C998="send_out"),IF(COUNTIF($L$2:$L$1001,B998)&gt;0,"Closed",IF(K998="","Open",IF(K998&lt;NOW(),"Overdue","Open"))),IF(C998="return",IF(OR(L998="",COUNTIF($B$2:$B$1001,L998)=0),"No match",IF(OR(M998="worn",M998="damaged"),"Quarantine","Returned")),IF(C998="issue","Issued",IF(C998="transfer","Moved",IF(C998="write_off","Written off",IF(C998="unfilled","Unfilled",""))))))))</f>
      </c>
      <c r="B998" s="31"/>
      <c r="C998" s="35"/>
      <c r="D998" s="33"/>
      <c r="E998" s="31"/>
      <c r="F998" s="31"/>
      <c r="G998" s="37">
        <f>IF(F998="","",IF(ISNA(MATCH(F998,'Item master'!$A$2:$A$301,0)),"Not in Item master",IFERROR(INDEX('Item master'!$B$2:$B$301,MATCH(F998,'Item master'!$A$2:$A$301,0))&amp;"","")))</f>
      </c>
      <c r="H998" s="34"/>
      <c r="I998" s="31"/>
      <c r="J998" s="31"/>
      <c r="K998" s="33"/>
      <c r="L998" s="31"/>
      <c r="M998" s="35"/>
      <c r="N998" s="30"/>
      <c r="O998" s="30"/>
      <c r="P998" s="36"/>
      <c r="Q998" s="38">
        <f>IF(OR(C998&lt;&gt;"loan",E998=""),"",IF(ISNA(MATCH(E998,Units!$A$2:$A$501,0)),"",IF(INDEX(Units!$E$2:$E$501,MATCH(E998,Units!$A$2:$A$501,0))="","",IF(K998="","No due date",IF(INT(K998)&gt;INDEX(Units!$E$2:$E$501,MATCH(E998,Units!$A$2:$A$501,0)),"Past cal date","OK")))))</f>
      </c>
      <c r="R998" s="37">
        <f>IF(A998="Overdue",K998+ROW()/10000000,"")</f>
      </c>
    </row>
    <row r="999">
      <c r="A999" s="38">
        <f>IF(C999="","",IF(B999="","Needs ID",IF(OR(C999="loan",C999="send_out"),IF(COUNTIF($L$2:$L$1001,B999)&gt;0,"Closed",IF(K999="","Open",IF(K999&lt;NOW(),"Overdue","Open"))),IF(C999="return",IF(OR(L999="",COUNTIF($B$2:$B$1001,L999)=0),"No match",IF(OR(M999="worn",M999="damaged"),"Quarantine","Returned")),IF(C999="issue","Issued",IF(C999="transfer","Moved",IF(C999="write_off","Written off",IF(C999="unfilled","Unfilled",""))))))))</f>
      </c>
      <c r="B999" s="31"/>
      <c r="C999" s="35"/>
      <c r="D999" s="33"/>
      <c r="E999" s="31"/>
      <c r="F999" s="31"/>
      <c r="G999" s="37">
        <f>IF(F999="","",IF(ISNA(MATCH(F999,'Item master'!$A$2:$A$301,0)),"Not in Item master",IFERROR(INDEX('Item master'!$B$2:$B$301,MATCH(F999,'Item master'!$A$2:$A$301,0))&amp;"","")))</f>
      </c>
      <c r="H999" s="34"/>
      <c r="I999" s="31"/>
      <c r="J999" s="31"/>
      <c r="K999" s="33"/>
      <c r="L999" s="31"/>
      <c r="M999" s="35"/>
      <c r="N999" s="30"/>
      <c r="O999" s="30"/>
      <c r="P999" s="36"/>
      <c r="Q999" s="38">
        <f>IF(OR(C999&lt;&gt;"loan",E999=""),"",IF(ISNA(MATCH(E999,Units!$A$2:$A$501,0)),"",IF(INDEX(Units!$E$2:$E$501,MATCH(E999,Units!$A$2:$A$501,0))="","",IF(K999="","No due date",IF(INT(K999)&gt;INDEX(Units!$E$2:$E$501,MATCH(E999,Units!$A$2:$A$501,0)),"Past cal date","OK")))))</f>
      </c>
      <c r="R999" s="37">
        <f>IF(A999="Overdue",K999+ROW()/10000000,"")</f>
      </c>
    </row>
    <row r="1000">
      <c r="A1000" s="38">
        <f>IF(C1000="","",IF(B1000="","Needs ID",IF(OR(C1000="loan",C1000="send_out"),IF(COUNTIF($L$2:$L$1001,B1000)&gt;0,"Closed",IF(K1000="","Open",IF(K1000&lt;NOW(),"Overdue","Open"))),IF(C1000="return",IF(OR(L1000="",COUNTIF($B$2:$B$1001,L1000)=0),"No match",IF(OR(M1000="worn",M1000="damaged"),"Quarantine","Returned")),IF(C1000="issue","Issued",IF(C1000="transfer","Moved",IF(C1000="write_off","Written off",IF(C1000="unfilled","Unfilled",""))))))))</f>
      </c>
      <c r="B1000" s="31"/>
      <c r="C1000" s="35"/>
      <c r="D1000" s="33"/>
      <c r="E1000" s="31"/>
      <c r="F1000" s="31"/>
      <c r="G1000" s="37">
        <f>IF(F1000="","",IF(ISNA(MATCH(F1000,'Item master'!$A$2:$A$301,0)),"Not in Item master",IFERROR(INDEX('Item master'!$B$2:$B$301,MATCH(F1000,'Item master'!$A$2:$A$301,0))&amp;"","")))</f>
      </c>
      <c r="H1000" s="34"/>
      <c r="I1000" s="31"/>
      <c r="J1000" s="31"/>
      <c r="K1000" s="33"/>
      <c r="L1000" s="31"/>
      <c r="M1000" s="35"/>
      <c r="N1000" s="30"/>
      <c r="O1000" s="30"/>
      <c r="P1000" s="36"/>
      <c r="Q1000" s="38">
        <f>IF(OR(C1000&lt;&gt;"loan",E1000=""),"",IF(ISNA(MATCH(E1000,Units!$A$2:$A$501,0)),"",IF(INDEX(Units!$E$2:$E$501,MATCH(E1000,Units!$A$2:$A$501,0))="","",IF(K1000="","No due date",IF(INT(K1000)&gt;INDEX(Units!$E$2:$E$501,MATCH(E1000,Units!$A$2:$A$501,0)),"Past cal date","OK")))))</f>
      </c>
      <c r="R1000" s="37">
        <f>IF(A1000="Overdue",K1000+ROW()/10000000,"")</f>
      </c>
    </row>
    <row r="1001">
      <c r="A1001" s="38">
        <f>IF(C1001="","",IF(B1001="","Needs ID",IF(OR(C1001="loan",C1001="send_out"),IF(COUNTIF($L$2:$L$1001,B1001)&gt;0,"Closed",IF(K1001="","Open",IF(K1001&lt;NOW(),"Overdue","Open"))),IF(C1001="return",IF(OR(L1001="",COUNTIF($B$2:$B$1001,L1001)=0),"No match",IF(OR(M1001="worn",M1001="damaged"),"Quarantine","Returned")),IF(C1001="issue","Issued",IF(C1001="transfer","Moved",IF(C1001="write_off","Written off",IF(C1001="unfilled","Unfilled",""))))))))</f>
      </c>
      <c r="B1001" s="31"/>
      <c r="C1001" s="35"/>
      <c r="D1001" s="33"/>
      <c r="E1001" s="31"/>
      <c r="F1001" s="31"/>
      <c r="G1001" s="37">
        <f>IF(F1001="","",IF(ISNA(MATCH(F1001,'Item master'!$A$2:$A$301,0)),"Not in Item master",IFERROR(INDEX('Item master'!$B$2:$B$301,MATCH(F1001,'Item master'!$A$2:$A$301,0))&amp;"","")))</f>
      </c>
      <c r="H1001" s="34"/>
      <c r="I1001" s="31"/>
      <c r="J1001" s="31"/>
      <c r="K1001" s="33"/>
      <c r="L1001" s="31"/>
      <c r="M1001" s="35"/>
      <c r="N1001" s="30"/>
      <c r="O1001" s="30"/>
      <c r="P1001" s="36"/>
      <c r="Q1001" s="38">
        <f>IF(OR(C1001&lt;&gt;"loan",E1001=""),"",IF(ISNA(MATCH(E1001,Units!$A$2:$A$501,0)),"",IF(INDEX(Units!$E$2:$E$501,MATCH(E1001,Units!$A$2:$A$501,0))="","",IF(K1001="","No due date",IF(INT(K1001)&gt;INDEX(Units!$E$2:$E$501,MATCH(E1001,Units!$A$2:$A$501,0)),"Past cal date","OK")))))</f>
      </c>
      <c r="R1001" s="37">
        <f>IF(A1001="Overdue",K1001+ROW()/10000000,"")</f>
      </c>
    </row>
  </sheetData>
  <autoFilter ref="A1:R1001"/>
  <conditionalFormatting sqref="A2:A1001">
    <cfRule type="expression" dxfId="0" priority="1" stopIfTrue="1">
      <formula>$A2="Overdue"</formula>
    </cfRule>
    <cfRule type="expression" dxfId="0" priority="2" stopIfTrue="1">
      <formula>$A2="Quarantine"</formula>
    </cfRule>
    <cfRule type="expression" dxfId="1" priority="3" stopIfTrue="1">
      <formula>$A2="No match"</formula>
    </cfRule>
    <cfRule type="expression" dxfId="1" priority="4" stopIfTrue="1">
      <formula>$A2="Needs ID"</formula>
    </cfRule>
    <cfRule type="expression" dxfId="1" priority="5" stopIfTrue="1">
      <formula>$A2="Unfilled"</formula>
    </cfRule>
    <cfRule type="expression" dxfId="3" priority="6" stopIfTrue="1">
      <formula>$A2="Open"</formula>
    </cfRule>
    <cfRule type="expression" dxfId="2" priority="7" stopIfTrue="1">
      <formula>$A2="Closed"</formula>
    </cfRule>
    <cfRule type="expression" dxfId="2" priority="8" stopIfTrue="1">
      <formula>$A2="Returned"</formula>
    </cfRule>
  </conditionalFormatting>
  <conditionalFormatting sqref="Q2:Q1001">
    <cfRule type="expression" dxfId="0" priority="9" stopIfTrue="1">
      <formula>$Q2="Past cal date"</formula>
    </cfRule>
    <cfRule type="expression" dxfId="1" priority="10" stopIfTrue="1">
      <formula>$Q2="No due date"</formula>
    </cfRule>
    <cfRule type="expression" dxfId="2" priority="11" stopIfTrue="1">
      <formula>$Q2="OK"</formula>
    </cfRule>
  </conditionalFormatting>
  <conditionalFormatting sqref="M2:M1001">
    <cfRule type="expression" dxfId="5" priority="12">
      <formula>M2="damaged"</formula>
    </cfRule>
    <cfRule type="expression" dxfId="6" priority="13">
      <formula>M2="worn"</formula>
    </cfRule>
  </conditionalFormatting>
  <conditionalFormatting sqref="B2:P1001">
    <cfRule type="expression" dxfId="4" priority="14">
      <formula>$A2="Overdue"</formula>
    </cfRule>
  </conditionalFormatting>
  <dataValidations count="12">
    <dataValidation type="custom" allowBlank="1" showInputMessage="1" showErrorMessage="1" promptTitle="Txn ID" prompt="A unique ID for the row, numbered in order, e.g. T-000126. A return names the loan it closes by this ID." errorTitle="Txn ID already used" error="Each row needs its own ID. This one is already in the log." sqref="B2:B1001">
      <formula1>COUNTIF($B$2:$B$1001,B2)=1</formula1>
    </dataValidation>
    <dataValidation type="list" allowBlank="1" showInputMessage="1" showErrorMessage="1" promptTitle="Type" prompt="loan = a durable that must come back. issue = a consumable that never does. unfilled = a request the crib could not meet." errorTitle="Type" error="Use one of loan, return, issue, send_out, transfer, write_off or unfilled." sqref="C2:C1001">
      <formula1>"loan,return,issue,send_out,transfer,write_off,unfilled"</formula1>
    </dataValidation>
    <dataValidation type="date" errorStyle="warning" operator="greaterThanOrEqual" allowBlank="1" showInputMessage="1" showErrorMessage="1" promptTitle="Time" prompt="When the row was written, e.g. 2026-09-14 06:52, 24-hour clock." errorTitle="Not a date" error="Type a date and time such as 2026-09-14 06:52." sqref="D2:D1001">
      <formula1>43831</formula1>
    </dataValidation>
    <dataValidation type="list" errorStyle="warning" allowBlank="1" showInputMessage="1" showErrorMessage="1" promptTitle="Asset ID" prompt="The unit's permanent ID for durables and gauges, from the Units sheet. Blank on issue and unfilled rows." errorTitle="Not on the Units sheet" error="Add this asset ID to the Units sheet so its calibration date is checked." sqref="E2:E1001">
      <formula1>Units!$A$2:$A$501</formula1>
    </dataValidation>
    <dataValidation type="list" errorStyle="warning" allowBlank="1" showInputMessage="1" showErrorMessage="1" promptTitle="Item no" prompt="The Item master code. Fill it on every row so the counts can group by tool type." errorTitle="Not on the Item master" error="Add this item number to the Item master so the description fills in." sqref="F2:F1001">
      <formula1>'Item master'!$A$2:$A$301</formula1>
    </dataValidation>
    <dataValidation type="whole" operator="greaterThanOrEqual" allowBlank="1" showInputMessage="1" showErrorMessage="1" promptTitle="Qty" prompt="1 for a unit. The count issued for a consumable." errorTitle="Qty" error="Use a whole number of 1 or more." sqref="H2:H1001">
      <formula1>1</formula1>
    </dataValidation>
    <dataValidation allowBlank="1" showInputMessage="1" promptTitle="Charge code" prompt="Work order, job or cost center. Required on loan and issue rows." sqref="J2:J1001"/>
    <dataValidation type="custom" errorStyle="warning" allowBlank="1" showInputMessage="1" showErrorMessage="1" promptTitle="Due" prompt="When a loan or send_out is due back. For a gauge, no later than its calibration due date." errorTitle="Check the due time" error="This is not a date, or it is earlier than the row time." sqref="K2:K1001">
      <formula1>OR(K2="",AND(ISNUMBER(K2),K2&gt;=D2))</formula1>
    </dataValidation>
    <dataValidation type="custom" errorStyle="warning" allowBlank="1" showInputMessage="1" showErrorMessage="1" promptTitle="Closes txn" prompt="On a return, the Txn ID of the loan or send_out it closes." errorTitle="No such Txn ID" error="No row in the log has this ID. A return with no loan still gets logged, with a note." sqref="L2:L1001">
      <formula1>COUNTIF($B$2:$B$1001,L2)&gt;0</formula1>
    </dataValidation>
    <dataValidation type="list" allowBlank="1" showInputMessage="1" showErrorMessage="1" promptTitle="Condition" prompt="good, worn or damaged, on loans and returns. Anything but good goes to the quarantine bin." errorTitle="Condition" error="Use one of good, worn or damaged." sqref="M2:M1001">
      <formula1>"good,worn,damaged"</formula1>
    </dataValidation>
    <dataValidation allowBlank="1" showInputMessage="1" promptTitle="Destination" prompt="Where the borrower said the tool was going, e.g. Line 4 or calibration lab." sqref="N2:N1001"/>
    <dataValidation allowBlank="1" showInputMessage="1" promptTitle="Notes" prompt="Free text. No personal details beyond the badge ID." sqref="P2:P1001"/>
  </dataValidations>
  <pageMargins left="0.7" right="0.7" top="0.75" bottom="0.75" header="0.3" footer="0.3"/>
  <pageSetup orientation="landscape" fitToWidth="1" fitToHeight="0"/>
  <headerFooter>
    <oddFooter>&amp;L&amp;8TagLogger tool crib checkout log&amp;R&amp;8Page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75569"/>
    <pageSetUpPr fitToPage="1"/>
  </sheetPr>
  <dimension ref="A1:I42"/>
  <sheetViews>
    <sheetView showGridLines="0" workbookViewId="0"/>
  </sheetViews>
  <sheetFormatPr defaultRowHeight="15"/>
  <cols>
    <col min="1" max="1" width="3" customWidth="1"/>
    <col min="2" max="2" width="13" customWidth="1"/>
    <col min="3" max="3" width="11" customWidth="1"/>
    <col min="4" max="4" width="13" customWidth="1"/>
    <col min="5" max="5" width="28" customWidth="1"/>
    <col min="6" max="6" width="12" customWidth="1"/>
    <col min="7" max="7" width="18" customWidth="1"/>
    <col min="8" max="8" width="17" customWidth="1"/>
    <col min="9" max="9" width="12" customWidth="1"/>
  </cols>
  <sheetData>
    <row r="1" ht="34" customHeight="1">
      <c r="B1" s="9" t="inlineStr">
        <is>
          <t xml:space="preserve">Tool crib KPIs</t>
        </is>
      </c>
    </row>
    <row r="2">
      <c r="B2" s="13" t="inlineStr">
        <is>
          <t xml:space="preserve">Worked out from the Transactions, Item master and Units sheets. Read it at each shift change.</t>
        </is>
      </c>
    </row>
    <row r="3" ht="9" customHeight="1"/>
    <row r="4" ht="44" customHeight="1">
      <c r="B4" s="44">
        <f>COUNTIFS(Transactions!$C$2:$C$1001,"loan",Transactions!$A$2:$A$1001,"Open")+COUNTIFS(Transactions!$C$2:$C$1001,"loan",Transactions!$A$2:$A$1001,"Overdue")</f>
      </c>
      <c r="C4" s="44">
        <f>COUNTIF(Transactions!$A$2:$A$1001,"Overdue")</f>
      </c>
      <c r="D4" s="44">
        <f>COUNTIFS(Transactions!$C$2:$C$1001,"send_out",Transactions!$A$2:$A$1001,"Open")+COUNTIFS(Transactions!$C$2:$C$1001,"send_out",Transactions!$A$2:$A$1001,"Overdue")</f>
      </c>
      <c r="E4" s="44">
        <f>COUNTIFS(Transactions!$A$2:$A$1001,"Quarantine",Transactions!$D$2:$D$1001,"&gt;="&amp;(NOW()-7))</f>
      </c>
      <c r="F4" s="44">
        <f>COUNTIFS(Transactions!$C$2:$C$1001,"unfilled",Transactions!$D$2:$D$1001,"&gt;="&amp;(NOW()-7))</f>
      </c>
      <c r="G4" s="46">
        <f>IFERROR((COUNTIFS(Transactions!$C$2:$C$1001,"loan",Transactions!$D$2:$D$1001,"&gt;="&amp;(NOW()-30))+COUNTIFS(Transactions!$C$2:$C$1001,"issue",Transactions!$D$2:$D$1001,"&gt;="&amp;(NOW()-30)))/(COUNTIFS(Transactions!$C$2:$C$1001,"loan",Transactions!$D$2:$D$1001,"&gt;="&amp;(NOW()-30))+COUNTIFS(Transactions!$C$2:$C$1001,"issue",Transactions!$D$2:$D$1001,"&gt;="&amp;(NOW()-30))+COUNTIFS(Transactions!$C$2:$C$1001,"unfilled",Transactions!$D$2:$D$1001,"&gt;="&amp;(NOW()-30))),"n/a")</f>
      </c>
      <c r="H4" s="44">
        <f>COUNTIF(Units!$F$2:$F$501,"Overdue")</f>
      </c>
      <c r="I4" s="44">
        <f>COUNTIF(Units!$F$2:$F$501,"Due in 14 days")</f>
      </c>
    </row>
    <row r="5" ht="32" customHeight="1">
      <c r="B5" s="45" t="inlineStr">
        <is>
          <t xml:space="preserve">Open loans</t>
        </is>
      </c>
      <c r="C5" s="45" t="inlineStr">
        <is>
          <t xml:space="preserve">Overdue</t>
        </is>
      </c>
      <c r="D5" s="45" t="inlineStr">
        <is>
          <t xml:space="preserve">Send-outs still out</t>
        </is>
      </c>
      <c r="E5" s="45" t="inlineStr">
        <is>
          <t xml:space="preserve">Quarantine returns, 7 days</t>
        </is>
      </c>
      <c r="F5" s="45" t="inlineStr">
        <is>
          <t xml:space="preserve">Unfilled requests, 7 days</t>
        </is>
      </c>
      <c r="G5" s="45" t="inlineStr">
        <is>
          <t xml:space="preserve">Fill rate, 30 days</t>
        </is>
      </c>
      <c r="H5" s="45" t="inlineStr">
        <is>
          <t xml:space="preserve">Calibration overdue</t>
        </is>
      </c>
      <c r="I5" s="45" t="inlineStr">
        <is>
          <t xml:space="preserve">Calibration due in 14 days</t>
        </is>
      </c>
    </row>
    <row r="6" ht="14" customHeight="1"/>
    <row r="7" ht="24" customHeight="1">
      <c r="B7" s="11" t="inlineStr">
        <is>
          <t xml:space="preserve">Overdue loans and send-outs, oldest due first</t>
        </is>
      </c>
      <c r="C7" s="11"/>
      <c r="D7" s="11"/>
      <c r="E7" s="11"/>
      <c r="F7" s="11"/>
      <c r="G7" s="11"/>
      <c r="H7" s="11"/>
      <c r="I7" s="11"/>
    </row>
    <row r="8" ht="22" customHeight="1">
      <c r="B8" s="41" t="inlineStr">
        <is>
          <t xml:space="preserve">Txn ID</t>
        </is>
      </c>
      <c r="C8" s="41" t="inlineStr">
        <is>
          <t xml:space="preserve">Type</t>
        </is>
      </c>
      <c r="D8" s="41" t="inlineStr">
        <is>
          <t xml:space="preserve">Asset ID</t>
        </is>
      </c>
      <c r="E8" s="41" t="inlineStr">
        <is>
          <t xml:space="preserve">Description</t>
        </is>
      </c>
      <c r="F8" s="41" t="inlineStr">
        <is>
          <t xml:space="preserve">Badge</t>
        </is>
      </c>
      <c r="G8" s="41" t="inlineStr">
        <is>
          <t xml:space="preserve">Destination</t>
        </is>
      </c>
      <c r="H8" s="43" t="inlineStr">
        <is>
          <t xml:space="preserve">Due</t>
        </is>
      </c>
      <c r="I8" s="43" t="inlineStr">
        <is>
          <t xml:space="preserve">Hours late</t>
        </is>
      </c>
    </row>
    <row r="9">
      <c r="B9" s="37">
        <f>IFERROR(INDEX(Transactions!$B$2:$B$1001,MATCH(SMALL(Transactions!$R$2:$R$1001,1),Transactions!$R$2:$R$1001,0)),"")</f>
      </c>
      <c r="C9" s="37">
        <f>IFERROR(INDEX(Transactions!$C$2:$C$1001,MATCH(SMALL(Transactions!$R$2:$R$1001,1),Transactions!$R$2:$R$1001,0)),"")</f>
      </c>
      <c r="D9" s="37">
        <f>IFERROR(INDEX(Transactions!$E$2:$E$1001,MATCH(SMALL(Transactions!$R$2:$R$1001,1),Transactions!$R$2:$R$1001,0)),"")</f>
      </c>
      <c r="E9" s="37">
        <f>IFERROR(INDEX(Transactions!$G$2:$G$1001,MATCH(SMALL(Transactions!$R$2:$R$1001,1),Transactions!$R$2:$R$1001,0)),"")</f>
      </c>
      <c r="F9" s="37">
        <f>IFERROR(INDEX(Transactions!$I$2:$I$1001,MATCH(SMALL(Transactions!$R$2:$R$1001,1),Transactions!$R$2:$R$1001,0)),"")</f>
      </c>
      <c r="G9" s="37">
        <f>IFERROR(INDEX(Transactions!$N$2:$N$1001,MATCH(SMALL(Transactions!$R$2:$R$1001,1),Transactions!$R$2:$R$1001,0)),"")</f>
      </c>
      <c r="H9" s="40">
        <f>IFERROR(INDEX(Transactions!$K$2:$K$1001,MATCH(SMALL(Transactions!$R$2:$R$1001,1),Transactions!$R$2:$R$1001,0)),"")</f>
      </c>
      <c r="I9" s="39">
        <f>IFERROR(ROUND((NOW()-INDEX(Transactions!$K$2:$K$1001,MATCH(SMALL(Transactions!$R$2:$R$1001,1),Transactions!$R$2:$R$1001,0)))*24,0),"")</f>
      </c>
    </row>
    <row r="10">
      <c r="B10" s="37">
        <f>IFERROR(INDEX(Transactions!$B$2:$B$1001,MATCH(SMALL(Transactions!$R$2:$R$1001,2),Transactions!$R$2:$R$1001,0)),"")</f>
      </c>
      <c r="C10" s="37">
        <f>IFERROR(INDEX(Transactions!$C$2:$C$1001,MATCH(SMALL(Transactions!$R$2:$R$1001,2),Transactions!$R$2:$R$1001,0)),"")</f>
      </c>
      <c r="D10" s="37">
        <f>IFERROR(INDEX(Transactions!$E$2:$E$1001,MATCH(SMALL(Transactions!$R$2:$R$1001,2),Transactions!$R$2:$R$1001,0)),"")</f>
      </c>
      <c r="E10" s="37">
        <f>IFERROR(INDEX(Transactions!$G$2:$G$1001,MATCH(SMALL(Transactions!$R$2:$R$1001,2),Transactions!$R$2:$R$1001,0)),"")</f>
      </c>
      <c r="F10" s="37">
        <f>IFERROR(INDEX(Transactions!$I$2:$I$1001,MATCH(SMALL(Transactions!$R$2:$R$1001,2),Transactions!$R$2:$R$1001,0)),"")</f>
      </c>
      <c r="G10" s="37">
        <f>IFERROR(INDEX(Transactions!$N$2:$N$1001,MATCH(SMALL(Transactions!$R$2:$R$1001,2),Transactions!$R$2:$R$1001,0)),"")</f>
      </c>
      <c r="H10" s="40">
        <f>IFERROR(INDEX(Transactions!$K$2:$K$1001,MATCH(SMALL(Transactions!$R$2:$R$1001,2),Transactions!$R$2:$R$1001,0)),"")</f>
      </c>
      <c r="I10" s="39">
        <f>IFERROR(ROUND((NOW()-INDEX(Transactions!$K$2:$K$1001,MATCH(SMALL(Transactions!$R$2:$R$1001,2),Transactions!$R$2:$R$1001,0)))*24,0),"")</f>
      </c>
    </row>
    <row r="11">
      <c r="B11" s="37">
        <f>IFERROR(INDEX(Transactions!$B$2:$B$1001,MATCH(SMALL(Transactions!$R$2:$R$1001,3),Transactions!$R$2:$R$1001,0)),"")</f>
      </c>
      <c r="C11" s="37">
        <f>IFERROR(INDEX(Transactions!$C$2:$C$1001,MATCH(SMALL(Transactions!$R$2:$R$1001,3),Transactions!$R$2:$R$1001,0)),"")</f>
      </c>
      <c r="D11" s="37">
        <f>IFERROR(INDEX(Transactions!$E$2:$E$1001,MATCH(SMALL(Transactions!$R$2:$R$1001,3),Transactions!$R$2:$R$1001,0)),"")</f>
      </c>
      <c r="E11" s="37">
        <f>IFERROR(INDEX(Transactions!$G$2:$G$1001,MATCH(SMALL(Transactions!$R$2:$R$1001,3),Transactions!$R$2:$R$1001,0)),"")</f>
      </c>
      <c r="F11" s="37">
        <f>IFERROR(INDEX(Transactions!$I$2:$I$1001,MATCH(SMALL(Transactions!$R$2:$R$1001,3),Transactions!$R$2:$R$1001,0)),"")</f>
      </c>
      <c r="G11" s="37">
        <f>IFERROR(INDEX(Transactions!$N$2:$N$1001,MATCH(SMALL(Transactions!$R$2:$R$1001,3),Transactions!$R$2:$R$1001,0)),"")</f>
      </c>
      <c r="H11" s="40">
        <f>IFERROR(INDEX(Transactions!$K$2:$K$1001,MATCH(SMALL(Transactions!$R$2:$R$1001,3),Transactions!$R$2:$R$1001,0)),"")</f>
      </c>
      <c r="I11" s="39">
        <f>IFERROR(ROUND((NOW()-INDEX(Transactions!$K$2:$K$1001,MATCH(SMALL(Transactions!$R$2:$R$1001,3),Transactions!$R$2:$R$1001,0)))*24,0),"")</f>
      </c>
    </row>
    <row r="12">
      <c r="B12" s="37">
        <f>IFERROR(INDEX(Transactions!$B$2:$B$1001,MATCH(SMALL(Transactions!$R$2:$R$1001,4),Transactions!$R$2:$R$1001,0)),"")</f>
      </c>
      <c r="C12" s="37">
        <f>IFERROR(INDEX(Transactions!$C$2:$C$1001,MATCH(SMALL(Transactions!$R$2:$R$1001,4),Transactions!$R$2:$R$1001,0)),"")</f>
      </c>
      <c r="D12" s="37">
        <f>IFERROR(INDEX(Transactions!$E$2:$E$1001,MATCH(SMALL(Transactions!$R$2:$R$1001,4),Transactions!$R$2:$R$1001,0)),"")</f>
      </c>
      <c r="E12" s="37">
        <f>IFERROR(INDEX(Transactions!$G$2:$G$1001,MATCH(SMALL(Transactions!$R$2:$R$1001,4),Transactions!$R$2:$R$1001,0)),"")</f>
      </c>
      <c r="F12" s="37">
        <f>IFERROR(INDEX(Transactions!$I$2:$I$1001,MATCH(SMALL(Transactions!$R$2:$R$1001,4),Transactions!$R$2:$R$1001,0)),"")</f>
      </c>
      <c r="G12" s="37">
        <f>IFERROR(INDEX(Transactions!$N$2:$N$1001,MATCH(SMALL(Transactions!$R$2:$R$1001,4),Transactions!$R$2:$R$1001,0)),"")</f>
      </c>
      <c r="H12" s="40">
        <f>IFERROR(INDEX(Transactions!$K$2:$K$1001,MATCH(SMALL(Transactions!$R$2:$R$1001,4),Transactions!$R$2:$R$1001,0)),"")</f>
      </c>
      <c r="I12" s="39">
        <f>IFERROR(ROUND((NOW()-INDEX(Transactions!$K$2:$K$1001,MATCH(SMALL(Transactions!$R$2:$R$1001,4),Transactions!$R$2:$R$1001,0)))*24,0),"")</f>
      </c>
    </row>
    <row r="13">
      <c r="B13" s="37">
        <f>IFERROR(INDEX(Transactions!$B$2:$B$1001,MATCH(SMALL(Transactions!$R$2:$R$1001,5),Transactions!$R$2:$R$1001,0)),"")</f>
      </c>
      <c r="C13" s="37">
        <f>IFERROR(INDEX(Transactions!$C$2:$C$1001,MATCH(SMALL(Transactions!$R$2:$R$1001,5),Transactions!$R$2:$R$1001,0)),"")</f>
      </c>
      <c r="D13" s="37">
        <f>IFERROR(INDEX(Transactions!$E$2:$E$1001,MATCH(SMALL(Transactions!$R$2:$R$1001,5),Transactions!$R$2:$R$1001,0)),"")</f>
      </c>
      <c r="E13" s="37">
        <f>IFERROR(INDEX(Transactions!$G$2:$G$1001,MATCH(SMALL(Transactions!$R$2:$R$1001,5),Transactions!$R$2:$R$1001,0)),"")</f>
      </c>
      <c r="F13" s="37">
        <f>IFERROR(INDEX(Transactions!$I$2:$I$1001,MATCH(SMALL(Transactions!$R$2:$R$1001,5),Transactions!$R$2:$R$1001,0)),"")</f>
      </c>
      <c r="G13" s="37">
        <f>IFERROR(INDEX(Transactions!$N$2:$N$1001,MATCH(SMALL(Transactions!$R$2:$R$1001,5),Transactions!$R$2:$R$1001,0)),"")</f>
      </c>
      <c r="H13" s="40">
        <f>IFERROR(INDEX(Transactions!$K$2:$K$1001,MATCH(SMALL(Transactions!$R$2:$R$1001,5),Transactions!$R$2:$R$1001,0)),"")</f>
      </c>
      <c r="I13" s="39">
        <f>IFERROR(ROUND((NOW()-INDEX(Transactions!$K$2:$K$1001,MATCH(SMALL(Transactions!$R$2:$R$1001,5),Transactions!$R$2:$R$1001,0)))*24,0),"")</f>
      </c>
    </row>
    <row r="14">
      <c r="B14" s="37">
        <f>IFERROR(INDEX(Transactions!$B$2:$B$1001,MATCH(SMALL(Transactions!$R$2:$R$1001,6),Transactions!$R$2:$R$1001,0)),"")</f>
      </c>
      <c r="C14" s="37">
        <f>IFERROR(INDEX(Transactions!$C$2:$C$1001,MATCH(SMALL(Transactions!$R$2:$R$1001,6),Transactions!$R$2:$R$1001,0)),"")</f>
      </c>
      <c r="D14" s="37">
        <f>IFERROR(INDEX(Transactions!$E$2:$E$1001,MATCH(SMALL(Transactions!$R$2:$R$1001,6),Transactions!$R$2:$R$1001,0)),"")</f>
      </c>
      <c r="E14" s="37">
        <f>IFERROR(INDEX(Transactions!$G$2:$G$1001,MATCH(SMALL(Transactions!$R$2:$R$1001,6),Transactions!$R$2:$R$1001,0)),"")</f>
      </c>
      <c r="F14" s="37">
        <f>IFERROR(INDEX(Transactions!$I$2:$I$1001,MATCH(SMALL(Transactions!$R$2:$R$1001,6),Transactions!$R$2:$R$1001,0)),"")</f>
      </c>
      <c r="G14" s="37">
        <f>IFERROR(INDEX(Transactions!$N$2:$N$1001,MATCH(SMALL(Transactions!$R$2:$R$1001,6),Transactions!$R$2:$R$1001,0)),"")</f>
      </c>
      <c r="H14" s="40">
        <f>IFERROR(INDEX(Transactions!$K$2:$K$1001,MATCH(SMALL(Transactions!$R$2:$R$1001,6),Transactions!$R$2:$R$1001,0)),"")</f>
      </c>
      <c r="I14" s="39">
        <f>IFERROR(ROUND((NOW()-INDEX(Transactions!$K$2:$K$1001,MATCH(SMALL(Transactions!$R$2:$R$1001,6),Transactions!$R$2:$R$1001,0)))*24,0),"")</f>
      </c>
    </row>
    <row r="15">
      <c r="B15" s="37">
        <f>IFERROR(INDEX(Transactions!$B$2:$B$1001,MATCH(SMALL(Transactions!$R$2:$R$1001,7),Transactions!$R$2:$R$1001,0)),"")</f>
      </c>
      <c r="C15" s="37">
        <f>IFERROR(INDEX(Transactions!$C$2:$C$1001,MATCH(SMALL(Transactions!$R$2:$R$1001,7),Transactions!$R$2:$R$1001,0)),"")</f>
      </c>
      <c r="D15" s="37">
        <f>IFERROR(INDEX(Transactions!$E$2:$E$1001,MATCH(SMALL(Transactions!$R$2:$R$1001,7),Transactions!$R$2:$R$1001,0)),"")</f>
      </c>
      <c r="E15" s="37">
        <f>IFERROR(INDEX(Transactions!$G$2:$G$1001,MATCH(SMALL(Transactions!$R$2:$R$1001,7),Transactions!$R$2:$R$1001,0)),"")</f>
      </c>
      <c r="F15" s="37">
        <f>IFERROR(INDEX(Transactions!$I$2:$I$1001,MATCH(SMALL(Transactions!$R$2:$R$1001,7),Transactions!$R$2:$R$1001,0)),"")</f>
      </c>
      <c r="G15" s="37">
        <f>IFERROR(INDEX(Transactions!$N$2:$N$1001,MATCH(SMALL(Transactions!$R$2:$R$1001,7),Transactions!$R$2:$R$1001,0)),"")</f>
      </c>
      <c r="H15" s="40">
        <f>IFERROR(INDEX(Transactions!$K$2:$K$1001,MATCH(SMALL(Transactions!$R$2:$R$1001,7),Transactions!$R$2:$R$1001,0)),"")</f>
      </c>
      <c r="I15" s="39">
        <f>IFERROR(ROUND((NOW()-INDEX(Transactions!$K$2:$K$1001,MATCH(SMALL(Transactions!$R$2:$R$1001,7),Transactions!$R$2:$R$1001,0)))*24,0),"")</f>
      </c>
    </row>
    <row r="16">
      <c r="B16" s="37">
        <f>IFERROR(INDEX(Transactions!$B$2:$B$1001,MATCH(SMALL(Transactions!$R$2:$R$1001,8),Transactions!$R$2:$R$1001,0)),"")</f>
      </c>
      <c r="C16" s="37">
        <f>IFERROR(INDEX(Transactions!$C$2:$C$1001,MATCH(SMALL(Transactions!$R$2:$R$1001,8),Transactions!$R$2:$R$1001,0)),"")</f>
      </c>
      <c r="D16" s="37">
        <f>IFERROR(INDEX(Transactions!$E$2:$E$1001,MATCH(SMALL(Transactions!$R$2:$R$1001,8),Transactions!$R$2:$R$1001,0)),"")</f>
      </c>
      <c r="E16" s="37">
        <f>IFERROR(INDEX(Transactions!$G$2:$G$1001,MATCH(SMALL(Transactions!$R$2:$R$1001,8),Transactions!$R$2:$R$1001,0)),"")</f>
      </c>
      <c r="F16" s="37">
        <f>IFERROR(INDEX(Transactions!$I$2:$I$1001,MATCH(SMALL(Transactions!$R$2:$R$1001,8),Transactions!$R$2:$R$1001,0)),"")</f>
      </c>
      <c r="G16" s="37">
        <f>IFERROR(INDEX(Transactions!$N$2:$N$1001,MATCH(SMALL(Transactions!$R$2:$R$1001,8),Transactions!$R$2:$R$1001,0)),"")</f>
      </c>
      <c r="H16" s="40">
        <f>IFERROR(INDEX(Transactions!$K$2:$K$1001,MATCH(SMALL(Transactions!$R$2:$R$1001,8),Transactions!$R$2:$R$1001,0)),"")</f>
      </c>
      <c r="I16" s="39">
        <f>IFERROR(ROUND((NOW()-INDEX(Transactions!$K$2:$K$1001,MATCH(SMALL(Transactions!$R$2:$R$1001,8),Transactions!$R$2:$R$1001,0)))*24,0),"")</f>
      </c>
    </row>
    <row r="17">
      <c r="B17" s="37">
        <f>IFERROR(INDEX(Transactions!$B$2:$B$1001,MATCH(SMALL(Transactions!$R$2:$R$1001,9),Transactions!$R$2:$R$1001,0)),"")</f>
      </c>
      <c r="C17" s="37">
        <f>IFERROR(INDEX(Transactions!$C$2:$C$1001,MATCH(SMALL(Transactions!$R$2:$R$1001,9),Transactions!$R$2:$R$1001,0)),"")</f>
      </c>
      <c r="D17" s="37">
        <f>IFERROR(INDEX(Transactions!$E$2:$E$1001,MATCH(SMALL(Transactions!$R$2:$R$1001,9),Transactions!$R$2:$R$1001,0)),"")</f>
      </c>
      <c r="E17" s="37">
        <f>IFERROR(INDEX(Transactions!$G$2:$G$1001,MATCH(SMALL(Transactions!$R$2:$R$1001,9),Transactions!$R$2:$R$1001,0)),"")</f>
      </c>
      <c r="F17" s="37">
        <f>IFERROR(INDEX(Transactions!$I$2:$I$1001,MATCH(SMALL(Transactions!$R$2:$R$1001,9),Transactions!$R$2:$R$1001,0)),"")</f>
      </c>
      <c r="G17" s="37">
        <f>IFERROR(INDEX(Transactions!$N$2:$N$1001,MATCH(SMALL(Transactions!$R$2:$R$1001,9),Transactions!$R$2:$R$1001,0)),"")</f>
      </c>
      <c r="H17" s="40">
        <f>IFERROR(INDEX(Transactions!$K$2:$K$1001,MATCH(SMALL(Transactions!$R$2:$R$1001,9),Transactions!$R$2:$R$1001,0)),"")</f>
      </c>
      <c r="I17" s="39">
        <f>IFERROR(ROUND((NOW()-INDEX(Transactions!$K$2:$K$1001,MATCH(SMALL(Transactions!$R$2:$R$1001,9),Transactions!$R$2:$R$1001,0)))*24,0),"")</f>
      </c>
    </row>
    <row r="18">
      <c r="B18" s="37">
        <f>IFERROR(INDEX(Transactions!$B$2:$B$1001,MATCH(SMALL(Transactions!$R$2:$R$1001,10),Transactions!$R$2:$R$1001,0)),"")</f>
      </c>
      <c r="C18" s="37">
        <f>IFERROR(INDEX(Transactions!$C$2:$C$1001,MATCH(SMALL(Transactions!$R$2:$R$1001,10),Transactions!$R$2:$R$1001,0)),"")</f>
      </c>
      <c r="D18" s="37">
        <f>IFERROR(INDEX(Transactions!$E$2:$E$1001,MATCH(SMALL(Transactions!$R$2:$R$1001,10),Transactions!$R$2:$R$1001,0)),"")</f>
      </c>
      <c r="E18" s="37">
        <f>IFERROR(INDEX(Transactions!$G$2:$G$1001,MATCH(SMALL(Transactions!$R$2:$R$1001,10),Transactions!$R$2:$R$1001,0)),"")</f>
      </c>
      <c r="F18" s="37">
        <f>IFERROR(INDEX(Transactions!$I$2:$I$1001,MATCH(SMALL(Transactions!$R$2:$R$1001,10),Transactions!$R$2:$R$1001,0)),"")</f>
      </c>
      <c r="G18" s="37">
        <f>IFERROR(INDEX(Transactions!$N$2:$N$1001,MATCH(SMALL(Transactions!$R$2:$R$1001,10),Transactions!$R$2:$R$1001,0)),"")</f>
      </c>
      <c r="H18" s="40">
        <f>IFERROR(INDEX(Transactions!$K$2:$K$1001,MATCH(SMALL(Transactions!$R$2:$R$1001,10),Transactions!$R$2:$R$1001,0)),"")</f>
      </c>
      <c r="I18" s="39">
        <f>IFERROR(ROUND((NOW()-INDEX(Transactions!$K$2:$K$1001,MATCH(SMALL(Transactions!$R$2:$R$1001,10),Transactions!$R$2:$R$1001,0)))*24,0),"")</f>
      </c>
    </row>
    <row r="19">
      <c r="B19" s="37">
        <f>IFERROR(INDEX(Transactions!$B$2:$B$1001,MATCH(SMALL(Transactions!$R$2:$R$1001,11),Transactions!$R$2:$R$1001,0)),"")</f>
      </c>
      <c r="C19" s="37">
        <f>IFERROR(INDEX(Transactions!$C$2:$C$1001,MATCH(SMALL(Transactions!$R$2:$R$1001,11),Transactions!$R$2:$R$1001,0)),"")</f>
      </c>
      <c r="D19" s="37">
        <f>IFERROR(INDEX(Transactions!$E$2:$E$1001,MATCH(SMALL(Transactions!$R$2:$R$1001,11),Transactions!$R$2:$R$1001,0)),"")</f>
      </c>
      <c r="E19" s="37">
        <f>IFERROR(INDEX(Transactions!$G$2:$G$1001,MATCH(SMALL(Transactions!$R$2:$R$1001,11),Transactions!$R$2:$R$1001,0)),"")</f>
      </c>
      <c r="F19" s="37">
        <f>IFERROR(INDEX(Transactions!$I$2:$I$1001,MATCH(SMALL(Transactions!$R$2:$R$1001,11),Transactions!$R$2:$R$1001,0)),"")</f>
      </c>
      <c r="G19" s="37">
        <f>IFERROR(INDEX(Transactions!$N$2:$N$1001,MATCH(SMALL(Transactions!$R$2:$R$1001,11),Transactions!$R$2:$R$1001,0)),"")</f>
      </c>
      <c r="H19" s="40">
        <f>IFERROR(INDEX(Transactions!$K$2:$K$1001,MATCH(SMALL(Transactions!$R$2:$R$1001,11),Transactions!$R$2:$R$1001,0)),"")</f>
      </c>
      <c r="I19" s="39">
        <f>IFERROR(ROUND((NOW()-INDEX(Transactions!$K$2:$K$1001,MATCH(SMALL(Transactions!$R$2:$R$1001,11),Transactions!$R$2:$R$1001,0)))*24,0),"")</f>
      </c>
    </row>
    <row r="20">
      <c r="B20" s="37">
        <f>IFERROR(INDEX(Transactions!$B$2:$B$1001,MATCH(SMALL(Transactions!$R$2:$R$1001,12),Transactions!$R$2:$R$1001,0)),"")</f>
      </c>
      <c r="C20" s="37">
        <f>IFERROR(INDEX(Transactions!$C$2:$C$1001,MATCH(SMALL(Transactions!$R$2:$R$1001,12),Transactions!$R$2:$R$1001,0)),"")</f>
      </c>
      <c r="D20" s="37">
        <f>IFERROR(INDEX(Transactions!$E$2:$E$1001,MATCH(SMALL(Transactions!$R$2:$R$1001,12),Transactions!$R$2:$R$1001,0)),"")</f>
      </c>
      <c r="E20" s="37">
        <f>IFERROR(INDEX(Transactions!$G$2:$G$1001,MATCH(SMALL(Transactions!$R$2:$R$1001,12),Transactions!$R$2:$R$1001,0)),"")</f>
      </c>
      <c r="F20" s="37">
        <f>IFERROR(INDEX(Transactions!$I$2:$I$1001,MATCH(SMALL(Transactions!$R$2:$R$1001,12),Transactions!$R$2:$R$1001,0)),"")</f>
      </c>
      <c r="G20" s="37">
        <f>IFERROR(INDEX(Transactions!$N$2:$N$1001,MATCH(SMALL(Transactions!$R$2:$R$1001,12),Transactions!$R$2:$R$1001,0)),"")</f>
      </c>
      <c r="H20" s="40">
        <f>IFERROR(INDEX(Transactions!$K$2:$K$1001,MATCH(SMALL(Transactions!$R$2:$R$1001,12),Transactions!$R$2:$R$1001,0)),"")</f>
      </c>
      <c r="I20" s="39">
        <f>IFERROR(ROUND((NOW()-INDEX(Transactions!$K$2:$K$1001,MATCH(SMALL(Transactions!$R$2:$R$1001,12),Transactions!$R$2:$R$1001,0)))*24,0),"")</f>
      </c>
    </row>
    <row r="21">
      <c r="B21" s="37">
        <f>IFERROR(INDEX(Transactions!$B$2:$B$1001,MATCH(SMALL(Transactions!$R$2:$R$1001,13),Transactions!$R$2:$R$1001,0)),"")</f>
      </c>
      <c r="C21" s="37">
        <f>IFERROR(INDEX(Transactions!$C$2:$C$1001,MATCH(SMALL(Transactions!$R$2:$R$1001,13),Transactions!$R$2:$R$1001,0)),"")</f>
      </c>
      <c r="D21" s="37">
        <f>IFERROR(INDEX(Transactions!$E$2:$E$1001,MATCH(SMALL(Transactions!$R$2:$R$1001,13),Transactions!$R$2:$R$1001,0)),"")</f>
      </c>
      <c r="E21" s="37">
        <f>IFERROR(INDEX(Transactions!$G$2:$G$1001,MATCH(SMALL(Transactions!$R$2:$R$1001,13),Transactions!$R$2:$R$1001,0)),"")</f>
      </c>
      <c r="F21" s="37">
        <f>IFERROR(INDEX(Transactions!$I$2:$I$1001,MATCH(SMALL(Transactions!$R$2:$R$1001,13),Transactions!$R$2:$R$1001,0)),"")</f>
      </c>
      <c r="G21" s="37">
        <f>IFERROR(INDEX(Transactions!$N$2:$N$1001,MATCH(SMALL(Transactions!$R$2:$R$1001,13),Transactions!$R$2:$R$1001,0)),"")</f>
      </c>
      <c r="H21" s="40">
        <f>IFERROR(INDEX(Transactions!$K$2:$K$1001,MATCH(SMALL(Transactions!$R$2:$R$1001,13),Transactions!$R$2:$R$1001,0)),"")</f>
      </c>
      <c r="I21" s="39">
        <f>IFERROR(ROUND((NOW()-INDEX(Transactions!$K$2:$K$1001,MATCH(SMALL(Transactions!$R$2:$R$1001,13),Transactions!$R$2:$R$1001,0)))*24,0),"")</f>
      </c>
    </row>
    <row r="22">
      <c r="B22" s="37">
        <f>IFERROR(INDEX(Transactions!$B$2:$B$1001,MATCH(SMALL(Transactions!$R$2:$R$1001,14),Transactions!$R$2:$R$1001,0)),"")</f>
      </c>
      <c r="C22" s="37">
        <f>IFERROR(INDEX(Transactions!$C$2:$C$1001,MATCH(SMALL(Transactions!$R$2:$R$1001,14),Transactions!$R$2:$R$1001,0)),"")</f>
      </c>
      <c r="D22" s="37">
        <f>IFERROR(INDEX(Transactions!$E$2:$E$1001,MATCH(SMALL(Transactions!$R$2:$R$1001,14),Transactions!$R$2:$R$1001,0)),"")</f>
      </c>
      <c r="E22" s="37">
        <f>IFERROR(INDEX(Transactions!$G$2:$G$1001,MATCH(SMALL(Transactions!$R$2:$R$1001,14),Transactions!$R$2:$R$1001,0)),"")</f>
      </c>
      <c r="F22" s="37">
        <f>IFERROR(INDEX(Transactions!$I$2:$I$1001,MATCH(SMALL(Transactions!$R$2:$R$1001,14),Transactions!$R$2:$R$1001,0)),"")</f>
      </c>
      <c r="G22" s="37">
        <f>IFERROR(INDEX(Transactions!$N$2:$N$1001,MATCH(SMALL(Transactions!$R$2:$R$1001,14),Transactions!$R$2:$R$1001,0)),"")</f>
      </c>
      <c r="H22" s="40">
        <f>IFERROR(INDEX(Transactions!$K$2:$K$1001,MATCH(SMALL(Transactions!$R$2:$R$1001,14),Transactions!$R$2:$R$1001,0)),"")</f>
      </c>
      <c r="I22" s="39">
        <f>IFERROR(ROUND((NOW()-INDEX(Transactions!$K$2:$K$1001,MATCH(SMALL(Transactions!$R$2:$R$1001,14),Transactions!$R$2:$R$1001,0)))*24,0),"")</f>
      </c>
    </row>
    <row r="23">
      <c r="B23" s="37">
        <f>IFERROR(INDEX(Transactions!$B$2:$B$1001,MATCH(SMALL(Transactions!$R$2:$R$1001,15),Transactions!$R$2:$R$1001,0)),"")</f>
      </c>
      <c r="C23" s="37">
        <f>IFERROR(INDEX(Transactions!$C$2:$C$1001,MATCH(SMALL(Transactions!$R$2:$R$1001,15),Transactions!$R$2:$R$1001,0)),"")</f>
      </c>
      <c r="D23" s="37">
        <f>IFERROR(INDEX(Transactions!$E$2:$E$1001,MATCH(SMALL(Transactions!$R$2:$R$1001,15),Transactions!$R$2:$R$1001,0)),"")</f>
      </c>
      <c r="E23" s="37">
        <f>IFERROR(INDEX(Transactions!$G$2:$G$1001,MATCH(SMALL(Transactions!$R$2:$R$1001,15),Transactions!$R$2:$R$1001,0)),"")</f>
      </c>
      <c r="F23" s="37">
        <f>IFERROR(INDEX(Transactions!$I$2:$I$1001,MATCH(SMALL(Transactions!$R$2:$R$1001,15),Transactions!$R$2:$R$1001,0)),"")</f>
      </c>
      <c r="G23" s="37">
        <f>IFERROR(INDEX(Transactions!$N$2:$N$1001,MATCH(SMALL(Transactions!$R$2:$R$1001,15),Transactions!$R$2:$R$1001,0)),"")</f>
      </c>
      <c r="H23" s="40">
        <f>IFERROR(INDEX(Transactions!$K$2:$K$1001,MATCH(SMALL(Transactions!$R$2:$R$1001,15),Transactions!$R$2:$R$1001,0)),"")</f>
      </c>
      <c r="I23" s="39">
        <f>IFERROR(ROUND((NOW()-INDEX(Transactions!$K$2:$K$1001,MATCH(SMALL(Transactions!$R$2:$R$1001,15),Transactions!$R$2:$R$1001,0)))*24,0),"")</f>
      </c>
    </row>
    <row r="24">
      <c r="B24" s="37">
        <f>IFERROR(INDEX(Transactions!$B$2:$B$1001,MATCH(SMALL(Transactions!$R$2:$R$1001,16),Transactions!$R$2:$R$1001,0)),"")</f>
      </c>
      <c r="C24" s="37">
        <f>IFERROR(INDEX(Transactions!$C$2:$C$1001,MATCH(SMALL(Transactions!$R$2:$R$1001,16),Transactions!$R$2:$R$1001,0)),"")</f>
      </c>
      <c r="D24" s="37">
        <f>IFERROR(INDEX(Transactions!$E$2:$E$1001,MATCH(SMALL(Transactions!$R$2:$R$1001,16),Transactions!$R$2:$R$1001,0)),"")</f>
      </c>
      <c r="E24" s="37">
        <f>IFERROR(INDEX(Transactions!$G$2:$G$1001,MATCH(SMALL(Transactions!$R$2:$R$1001,16),Transactions!$R$2:$R$1001,0)),"")</f>
      </c>
      <c r="F24" s="37">
        <f>IFERROR(INDEX(Transactions!$I$2:$I$1001,MATCH(SMALL(Transactions!$R$2:$R$1001,16),Transactions!$R$2:$R$1001,0)),"")</f>
      </c>
      <c r="G24" s="37">
        <f>IFERROR(INDEX(Transactions!$N$2:$N$1001,MATCH(SMALL(Transactions!$R$2:$R$1001,16),Transactions!$R$2:$R$1001,0)),"")</f>
      </c>
      <c r="H24" s="40">
        <f>IFERROR(INDEX(Transactions!$K$2:$K$1001,MATCH(SMALL(Transactions!$R$2:$R$1001,16),Transactions!$R$2:$R$1001,0)),"")</f>
      </c>
      <c r="I24" s="39">
        <f>IFERROR(ROUND((NOW()-INDEX(Transactions!$K$2:$K$1001,MATCH(SMALL(Transactions!$R$2:$R$1001,16),Transactions!$R$2:$R$1001,0)))*24,0),"")</f>
      </c>
    </row>
    <row r="25">
      <c r="B25" s="37">
        <f>IFERROR(INDEX(Transactions!$B$2:$B$1001,MATCH(SMALL(Transactions!$R$2:$R$1001,17),Transactions!$R$2:$R$1001,0)),"")</f>
      </c>
      <c r="C25" s="37">
        <f>IFERROR(INDEX(Transactions!$C$2:$C$1001,MATCH(SMALL(Transactions!$R$2:$R$1001,17),Transactions!$R$2:$R$1001,0)),"")</f>
      </c>
      <c r="D25" s="37">
        <f>IFERROR(INDEX(Transactions!$E$2:$E$1001,MATCH(SMALL(Transactions!$R$2:$R$1001,17),Transactions!$R$2:$R$1001,0)),"")</f>
      </c>
      <c r="E25" s="37">
        <f>IFERROR(INDEX(Transactions!$G$2:$G$1001,MATCH(SMALL(Transactions!$R$2:$R$1001,17),Transactions!$R$2:$R$1001,0)),"")</f>
      </c>
      <c r="F25" s="37">
        <f>IFERROR(INDEX(Transactions!$I$2:$I$1001,MATCH(SMALL(Transactions!$R$2:$R$1001,17),Transactions!$R$2:$R$1001,0)),"")</f>
      </c>
      <c r="G25" s="37">
        <f>IFERROR(INDEX(Transactions!$N$2:$N$1001,MATCH(SMALL(Transactions!$R$2:$R$1001,17),Transactions!$R$2:$R$1001,0)),"")</f>
      </c>
      <c r="H25" s="40">
        <f>IFERROR(INDEX(Transactions!$K$2:$K$1001,MATCH(SMALL(Transactions!$R$2:$R$1001,17),Transactions!$R$2:$R$1001,0)),"")</f>
      </c>
      <c r="I25" s="39">
        <f>IFERROR(ROUND((NOW()-INDEX(Transactions!$K$2:$K$1001,MATCH(SMALL(Transactions!$R$2:$R$1001,17),Transactions!$R$2:$R$1001,0)))*24,0),"")</f>
      </c>
    </row>
    <row r="26">
      <c r="B26" s="37">
        <f>IFERROR(INDEX(Transactions!$B$2:$B$1001,MATCH(SMALL(Transactions!$R$2:$R$1001,18),Transactions!$R$2:$R$1001,0)),"")</f>
      </c>
      <c r="C26" s="37">
        <f>IFERROR(INDEX(Transactions!$C$2:$C$1001,MATCH(SMALL(Transactions!$R$2:$R$1001,18),Transactions!$R$2:$R$1001,0)),"")</f>
      </c>
      <c r="D26" s="37">
        <f>IFERROR(INDEX(Transactions!$E$2:$E$1001,MATCH(SMALL(Transactions!$R$2:$R$1001,18),Transactions!$R$2:$R$1001,0)),"")</f>
      </c>
      <c r="E26" s="37">
        <f>IFERROR(INDEX(Transactions!$G$2:$G$1001,MATCH(SMALL(Transactions!$R$2:$R$1001,18),Transactions!$R$2:$R$1001,0)),"")</f>
      </c>
      <c r="F26" s="37">
        <f>IFERROR(INDEX(Transactions!$I$2:$I$1001,MATCH(SMALL(Transactions!$R$2:$R$1001,18),Transactions!$R$2:$R$1001,0)),"")</f>
      </c>
      <c r="G26" s="37">
        <f>IFERROR(INDEX(Transactions!$N$2:$N$1001,MATCH(SMALL(Transactions!$R$2:$R$1001,18),Transactions!$R$2:$R$1001,0)),"")</f>
      </c>
      <c r="H26" s="40">
        <f>IFERROR(INDEX(Transactions!$K$2:$K$1001,MATCH(SMALL(Transactions!$R$2:$R$1001,18),Transactions!$R$2:$R$1001,0)),"")</f>
      </c>
      <c r="I26" s="39">
        <f>IFERROR(ROUND((NOW()-INDEX(Transactions!$K$2:$K$1001,MATCH(SMALL(Transactions!$R$2:$R$1001,18),Transactions!$R$2:$R$1001,0)))*24,0),"")</f>
      </c>
    </row>
    <row r="27">
      <c r="B27" s="37">
        <f>IFERROR(INDEX(Transactions!$B$2:$B$1001,MATCH(SMALL(Transactions!$R$2:$R$1001,19),Transactions!$R$2:$R$1001,0)),"")</f>
      </c>
      <c r="C27" s="37">
        <f>IFERROR(INDEX(Transactions!$C$2:$C$1001,MATCH(SMALL(Transactions!$R$2:$R$1001,19),Transactions!$R$2:$R$1001,0)),"")</f>
      </c>
      <c r="D27" s="37">
        <f>IFERROR(INDEX(Transactions!$E$2:$E$1001,MATCH(SMALL(Transactions!$R$2:$R$1001,19),Transactions!$R$2:$R$1001,0)),"")</f>
      </c>
      <c r="E27" s="37">
        <f>IFERROR(INDEX(Transactions!$G$2:$G$1001,MATCH(SMALL(Transactions!$R$2:$R$1001,19),Transactions!$R$2:$R$1001,0)),"")</f>
      </c>
      <c r="F27" s="37">
        <f>IFERROR(INDEX(Transactions!$I$2:$I$1001,MATCH(SMALL(Transactions!$R$2:$R$1001,19),Transactions!$R$2:$R$1001,0)),"")</f>
      </c>
      <c r="G27" s="37">
        <f>IFERROR(INDEX(Transactions!$N$2:$N$1001,MATCH(SMALL(Transactions!$R$2:$R$1001,19),Transactions!$R$2:$R$1001,0)),"")</f>
      </c>
      <c r="H27" s="40">
        <f>IFERROR(INDEX(Transactions!$K$2:$K$1001,MATCH(SMALL(Transactions!$R$2:$R$1001,19),Transactions!$R$2:$R$1001,0)),"")</f>
      </c>
      <c r="I27" s="39">
        <f>IFERROR(ROUND((NOW()-INDEX(Transactions!$K$2:$K$1001,MATCH(SMALL(Transactions!$R$2:$R$1001,19),Transactions!$R$2:$R$1001,0)))*24,0),"")</f>
      </c>
    </row>
    <row r="28">
      <c r="B28" s="37">
        <f>IFERROR(INDEX(Transactions!$B$2:$B$1001,MATCH(SMALL(Transactions!$R$2:$R$1001,20),Transactions!$R$2:$R$1001,0)),"")</f>
      </c>
      <c r="C28" s="37">
        <f>IFERROR(INDEX(Transactions!$C$2:$C$1001,MATCH(SMALL(Transactions!$R$2:$R$1001,20),Transactions!$R$2:$R$1001,0)),"")</f>
      </c>
      <c r="D28" s="37">
        <f>IFERROR(INDEX(Transactions!$E$2:$E$1001,MATCH(SMALL(Transactions!$R$2:$R$1001,20),Transactions!$R$2:$R$1001,0)),"")</f>
      </c>
      <c r="E28" s="37">
        <f>IFERROR(INDEX(Transactions!$G$2:$G$1001,MATCH(SMALL(Transactions!$R$2:$R$1001,20),Transactions!$R$2:$R$1001,0)),"")</f>
      </c>
      <c r="F28" s="37">
        <f>IFERROR(INDEX(Transactions!$I$2:$I$1001,MATCH(SMALL(Transactions!$R$2:$R$1001,20),Transactions!$R$2:$R$1001,0)),"")</f>
      </c>
      <c r="G28" s="37">
        <f>IFERROR(INDEX(Transactions!$N$2:$N$1001,MATCH(SMALL(Transactions!$R$2:$R$1001,20),Transactions!$R$2:$R$1001,0)),"")</f>
      </c>
      <c r="H28" s="40">
        <f>IFERROR(INDEX(Transactions!$K$2:$K$1001,MATCH(SMALL(Transactions!$R$2:$R$1001,20),Transactions!$R$2:$R$1001,0)),"")</f>
      </c>
      <c r="I28" s="39">
        <f>IFERROR(ROUND((NOW()-INDEX(Transactions!$K$2:$K$1001,MATCH(SMALL(Transactions!$R$2:$R$1001,20),Transactions!$R$2:$R$1001,0)))*24,0),"")</f>
      </c>
    </row>
    <row r="29">
      <c r="B29" s="37">
        <f>IFERROR(INDEX(Transactions!$B$2:$B$1001,MATCH(SMALL(Transactions!$R$2:$R$1001,21),Transactions!$R$2:$R$1001,0)),"")</f>
      </c>
      <c r="C29" s="37">
        <f>IFERROR(INDEX(Transactions!$C$2:$C$1001,MATCH(SMALL(Transactions!$R$2:$R$1001,21),Transactions!$R$2:$R$1001,0)),"")</f>
      </c>
      <c r="D29" s="37">
        <f>IFERROR(INDEX(Transactions!$E$2:$E$1001,MATCH(SMALL(Transactions!$R$2:$R$1001,21),Transactions!$R$2:$R$1001,0)),"")</f>
      </c>
      <c r="E29" s="37">
        <f>IFERROR(INDEX(Transactions!$G$2:$G$1001,MATCH(SMALL(Transactions!$R$2:$R$1001,21),Transactions!$R$2:$R$1001,0)),"")</f>
      </c>
      <c r="F29" s="37">
        <f>IFERROR(INDEX(Transactions!$I$2:$I$1001,MATCH(SMALL(Transactions!$R$2:$R$1001,21),Transactions!$R$2:$R$1001,0)),"")</f>
      </c>
      <c r="G29" s="37">
        <f>IFERROR(INDEX(Transactions!$N$2:$N$1001,MATCH(SMALL(Transactions!$R$2:$R$1001,21),Transactions!$R$2:$R$1001,0)),"")</f>
      </c>
      <c r="H29" s="40">
        <f>IFERROR(INDEX(Transactions!$K$2:$K$1001,MATCH(SMALL(Transactions!$R$2:$R$1001,21),Transactions!$R$2:$R$1001,0)),"")</f>
      </c>
      <c r="I29" s="39">
        <f>IFERROR(ROUND((NOW()-INDEX(Transactions!$K$2:$K$1001,MATCH(SMALL(Transactions!$R$2:$R$1001,21),Transactions!$R$2:$R$1001,0)))*24,0),"")</f>
      </c>
    </row>
    <row r="30">
      <c r="B30" s="37">
        <f>IFERROR(INDEX(Transactions!$B$2:$B$1001,MATCH(SMALL(Transactions!$R$2:$R$1001,22),Transactions!$R$2:$R$1001,0)),"")</f>
      </c>
      <c r="C30" s="37">
        <f>IFERROR(INDEX(Transactions!$C$2:$C$1001,MATCH(SMALL(Transactions!$R$2:$R$1001,22),Transactions!$R$2:$R$1001,0)),"")</f>
      </c>
      <c r="D30" s="37">
        <f>IFERROR(INDEX(Transactions!$E$2:$E$1001,MATCH(SMALL(Transactions!$R$2:$R$1001,22),Transactions!$R$2:$R$1001,0)),"")</f>
      </c>
      <c r="E30" s="37">
        <f>IFERROR(INDEX(Transactions!$G$2:$G$1001,MATCH(SMALL(Transactions!$R$2:$R$1001,22),Transactions!$R$2:$R$1001,0)),"")</f>
      </c>
      <c r="F30" s="37">
        <f>IFERROR(INDEX(Transactions!$I$2:$I$1001,MATCH(SMALL(Transactions!$R$2:$R$1001,22),Transactions!$R$2:$R$1001,0)),"")</f>
      </c>
      <c r="G30" s="37">
        <f>IFERROR(INDEX(Transactions!$N$2:$N$1001,MATCH(SMALL(Transactions!$R$2:$R$1001,22),Transactions!$R$2:$R$1001,0)),"")</f>
      </c>
      <c r="H30" s="40">
        <f>IFERROR(INDEX(Transactions!$K$2:$K$1001,MATCH(SMALL(Transactions!$R$2:$R$1001,22),Transactions!$R$2:$R$1001,0)),"")</f>
      </c>
      <c r="I30" s="39">
        <f>IFERROR(ROUND((NOW()-INDEX(Transactions!$K$2:$K$1001,MATCH(SMALL(Transactions!$R$2:$R$1001,22),Transactions!$R$2:$R$1001,0)))*24,0),"")</f>
      </c>
    </row>
    <row r="31">
      <c r="B31" s="37">
        <f>IFERROR(INDEX(Transactions!$B$2:$B$1001,MATCH(SMALL(Transactions!$R$2:$R$1001,23),Transactions!$R$2:$R$1001,0)),"")</f>
      </c>
      <c r="C31" s="37">
        <f>IFERROR(INDEX(Transactions!$C$2:$C$1001,MATCH(SMALL(Transactions!$R$2:$R$1001,23),Transactions!$R$2:$R$1001,0)),"")</f>
      </c>
      <c r="D31" s="37">
        <f>IFERROR(INDEX(Transactions!$E$2:$E$1001,MATCH(SMALL(Transactions!$R$2:$R$1001,23),Transactions!$R$2:$R$1001,0)),"")</f>
      </c>
      <c r="E31" s="37">
        <f>IFERROR(INDEX(Transactions!$G$2:$G$1001,MATCH(SMALL(Transactions!$R$2:$R$1001,23),Transactions!$R$2:$R$1001,0)),"")</f>
      </c>
      <c r="F31" s="37">
        <f>IFERROR(INDEX(Transactions!$I$2:$I$1001,MATCH(SMALL(Transactions!$R$2:$R$1001,23),Transactions!$R$2:$R$1001,0)),"")</f>
      </c>
      <c r="G31" s="37">
        <f>IFERROR(INDEX(Transactions!$N$2:$N$1001,MATCH(SMALL(Transactions!$R$2:$R$1001,23),Transactions!$R$2:$R$1001,0)),"")</f>
      </c>
      <c r="H31" s="40">
        <f>IFERROR(INDEX(Transactions!$K$2:$K$1001,MATCH(SMALL(Transactions!$R$2:$R$1001,23),Transactions!$R$2:$R$1001,0)),"")</f>
      </c>
      <c r="I31" s="39">
        <f>IFERROR(ROUND((NOW()-INDEX(Transactions!$K$2:$K$1001,MATCH(SMALL(Transactions!$R$2:$R$1001,23),Transactions!$R$2:$R$1001,0)))*24,0),"")</f>
      </c>
    </row>
    <row r="32">
      <c r="B32" s="37">
        <f>IFERROR(INDEX(Transactions!$B$2:$B$1001,MATCH(SMALL(Transactions!$R$2:$R$1001,24),Transactions!$R$2:$R$1001,0)),"")</f>
      </c>
      <c r="C32" s="37">
        <f>IFERROR(INDEX(Transactions!$C$2:$C$1001,MATCH(SMALL(Transactions!$R$2:$R$1001,24),Transactions!$R$2:$R$1001,0)),"")</f>
      </c>
      <c r="D32" s="37">
        <f>IFERROR(INDEX(Transactions!$E$2:$E$1001,MATCH(SMALL(Transactions!$R$2:$R$1001,24),Transactions!$R$2:$R$1001,0)),"")</f>
      </c>
      <c r="E32" s="37">
        <f>IFERROR(INDEX(Transactions!$G$2:$G$1001,MATCH(SMALL(Transactions!$R$2:$R$1001,24),Transactions!$R$2:$R$1001,0)),"")</f>
      </c>
      <c r="F32" s="37">
        <f>IFERROR(INDEX(Transactions!$I$2:$I$1001,MATCH(SMALL(Transactions!$R$2:$R$1001,24),Transactions!$R$2:$R$1001,0)),"")</f>
      </c>
      <c r="G32" s="37">
        <f>IFERROR(INDEX(Transactions!$N$2:$N$1001,MATCH(SMALL(Transactions!$R$2:$R$1001,24),Transactions!$R$2:$R$1001,0)),"")</f>
      </c>
      <c r="H32" s="40">
        <f>IFERROR(INDEX(Transactions!$K$2:$K$1001,MATCH(SMALL(Transactions!$R$2:$R$1001,24),Transactions!$R$2:$R$1001,0)),"")</f>
      </c>
      <c r="I32" s="39">
        <f>IFERROR(ROUND((NOW()-INDEX(Transactions!$K$2:$K$1001,MATCH(SMALL(Transactions!$R$2:$R$1001,24),Transactions!$R$2:$R$1001,0)))*24,0),"")</f>
      </c>
    </row>
    <row r="33">
      <c r="B33" s="37">
        <f>IFERROR(INDEX(Transactions!$B$2:$B$1001,MATCH(SMALL(Transactions!$R$2:$R$1001,25),Transactions!$R$2:$R$1001,0)),"")</f>
      </c>
      <c r="C33" s="37">
        <f>IFERROR(INDEX(Transactions!$C$2:$C$1001,MATCH(SMALL(Transactions!$R$2:$R$1001,25),Transactions!$R$2:$R$1001,0)),"")</f>
      </c>
      <c r="D33" s="37">
        <f>IFERROR(INDEX(Transactions!$E$2:$E$1001,MATCH(SMALL(Transactions!$R$2:$R$1001,25),Transactions!$R$2:$R$1001,0)),"")</f>
      </c>
      <c r="E33" s="37">
        <f>IFERROR(INDEX(Transactions!$G$2:$G$1001,MATCH(SMALL(Transactions!$R$2:$R$1001,25),Transactions!$R$2:$R$1001,0)),"")</f>
      </c>
      <c r="F33" s="37">
        <f>IFERROR(INDEX(Transactions!$I$2:$I$1001,MATCH(SMALL(Transactions!$R$2:$R$1001,25),Transactions!$R$2:$R$1001,0)),"")</f>
      </c>
      <c r="G33" s="37">
        <f>IFERROR(INDEX(Transactions!$N$2:$N$1001,MATCH(SMALL(Transactions!$R$2:$R$1001,25),Transactions!$R$2:$R$1001,0)),"")</f>
      </c>
      <c r="H33" s="40">
        <f>IFERROR(INDEX(Transactions!$K$2:$K$1001,MATCH(SMALL(Transactions!$R$2:$R$1001,25),Transactions!$R$2:$R$1001,0)),"")</f>
      </c>
      <c r="I33" s="39">
        <f>IFERROR(ROUND((NOW()-INDEX(Transactions!$K$2:$K$1001,MATCH(SMALL(Transactions!$R$2:$R$1001,25),Transactions!$R$2:$R$1001,0)))*24,0),"")</f>
      </c>
    </row>
    <row r="34">
      <c r="B34" s="10">
        <f>IF(COUNTIF(Transactions!$A$2:$A$1001,"Overdue")&gt;25,"Showing 25 of "&amp;COUNTIF(Transactions!$A$2:$A$1001,"Overdue")&amp;" overdue. Filter Status on Transactions for the rest.","")</f>
      </c>
    </row>
    <row r="35" ht="14" customHeight="1"/>
    <row r="36" ht="24" customHeight="1">
      <c r="B36" s="11" t="inlineStr">
        <is>
          <t xml:space="preserve">At each shift change</t>
        </is>
      </c>
      <c r="C36" s="11"/>
      <c r="D36" s="11"/>
      <c r="E36" s="11"/>
      <c r="F36" s="11"/>
      <c r="G36" s="11"/>
      <c r="H36" s="11"/>
      <c r="I36" s="11"/>
    </row>
    <row r="37" ht="34" customHeight="1">
      <c r="B37" s="12" t="inlineStr">
        <is>
          <t xml:space="preserve">1</t>
        </is>
      </c>
      <c r="C37" s="20" t="inlineStr">
        <is>
          <t xml:space="preserve">Send the overdue list above to the area leads at each shift change, grouped by destination, so a lead walks Line 4 once instead of chasing six badges.</t>
        </is>
      </c>
      <c r="D37" s="20"/>
      <c r="E37" s="20"/>
      <c r="F37" s="20"/>
      <c r="G37" s="20"/>
      <c r="H37" s="20"/>
      <c r="I37" s="20"/>
    </row>
    <row r="38" ht="19" customHeight="1">
      <c r="B38" s="12" t="inlineStr">
        <is>
          <t xml:space="preserve">2</t>
        </is>
      </c>
      <c r="C38" s="20" t="inlineStr">
        <is>
          <t xml:space="preserve">Escalate on fixed days: the borrower first, then the supervisor.</t>
        </is>
      </c>
      <c r="D38" s="20"/>
      <c r="E38" s="20"/>
      <c r="F38" s="20"/>
      <c r="G38" s="20"/>
      <c r="H38" s="20"/>
      <c r="I38" s="20"/>
    </row>
    <row r="39" ht="34" customHeight="1">
      <c r="B39" s="12" t="inlineStr">
        <is>
          <t xml:space="preserve">3</t>
        </is>
      </c>
      <c r="C39" s="20" t="inlineStr">
        <is>
          <t xml:space="preserve">After a set time, write the tool off with a write_off row and block the badge from new loans. Give supervisors a logged override with a reason.</t>
        </is>
      </c>
      <c r="D39" s="20"/>
      <c r="E39" s="20"/>
      <c r="F39" s="20"/>
      <c r="G39" s="20"/>
      <c r="H39" s="20"/>
      <c r="I39" s="20"/>
    </row>
    <row r="40" ht="19" customHeight="1">
      <c r="B40" s="12" t="inlineStr">
        <is>
          <t xml:space="preserve">4</t>
        </is>
      </c>
      <c r="C40" s="20" t="inlineStr">
        <is>
          <t xml:space="preserve">Look at every Quarantine return before the tool goes back on the shelf.</t>
        </is>
      </c>
      <c r="D40" s="20"/>
      <c r="E40" s="20"/>
      <c r="F40" s="20"/>
      <c r="G40" s="20"/>
      <c r="H40" s="20"/>
      <c r="I40" s="20"/>
    </row>
    <row r="41" ht="19" customHeight="1">
      <c r="B41" s="12" t="inlineStr">
        <is>
          <t xml:space="preserve">5</t>
        </is>
      </c>
      <c r="C41" s="20" t="inlineStr">
        <is>
          <t xml:space="preserve">Move any gauge with Cal status Due in 14 days to the calibration shelf, and send it out with a send_out row.</t>
        </is>
      </c>
      <c r="D41" s="20"/>
      <c r="E41" s="20"/>
      <c r="F41" s="20"/>
      <c r="G41" s="20"/>
      <c r="H41" s="20"/>
      <c r="I41" s="20"/>
    </row>
    <row r="42" ht="19" customHeight="1">
      <c r="B42" s="12" t="inlineStr">
        <is>
          <t xml:space="preserve">6</t>
        </is>
      </c>
      <c r="C42" s="20" t="inlineStr">
        <is>
          <t xml:space="preserve">Once a week, match the HR leavers list against open loans by badge.</t>
        </is>
      </c>
      <c r="D42" s="20"/>
      <c r="E42" s="20"/>
      <c r="F42" s="20"/>
      <c r="G42" s="20"/>
      <c r="H42" s="20"/>
      <c r="I42" s="20"/>
    </row>
  </sheetData>
  <mergeCells count="8">
    <mergeCell ref="B7:I7"/>
    <mergeCell ref="B36:I36"/>
    <mergeCell ref="C37:I37"/>
    <mergeCell ref="C38:I38"/>
    <mergeCell ref="C39:I39"/>
    <mergeCell ref="C40:I40"/>
    <mergeCell ref="C41:I41"/>
    <mergeCell ref="C42:I42"/>
  </mergeCells>
  <pageMargins left="0.7" right="0.7" top="0.75" bottom="0.75" header="0.3" footer="0.3"/>
  <pageSetup orientation="landscape" fitToWidth="1" fitToHeight="0"/>
  <headerFooter>
    <oddFooter>&amp;L&amp;8TagLogger crib kpis&amp;R&amp;8Page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11827"/>
    <pageSetUpPr fitToPage="1"/>
  </sheetPr>
  <dimension ref="A1:H3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/>
  <cols>
    <col min="1" max="1" width="12" customWidth="1"/>
    <col min="2" max="2" width="32" customWidth="1"/>
    <col min="3" max="3" width="12" customWidth="1"/>
    <col min="4" max="4" width="11" customWidth="1"/>
    <col min="5" max="5" width="11" customWidth="1"/>
    <col min="6" max="6" width="11" customWidth="1"/>
    <col min="7" max="7" width="11" customWidth="1"/>
    <col min="8" max="8" width="32" customWidth="1"/>
  </cols>
  <sheetData>
    <row r="1" ht="32" customHeight="1">
      <c r="A1" s="1" t="inlineStr">
        <is>
          <t xml:space="preserve">Item no</t>
        </is>
      </c>
      <c r="B1" s="1" t="inlineStr">
        <is>
          <t xml:space="preserve">Description</t>
        </is>
      </c>
      <c r="C1" s="26" t="inlineStr">
        <is>
          <t xml:space="preserve">Class</t>
        </is>
      </c>
      <c r="D1" s="25" t="inlineStr">
        <is>
          <t xml:space="preserve">Default loan (h)</t>
        </is>
      </c>
      <c r="E1" s="43" t="inlineStr">
        <is>
          <t xml:space="preserve">Issued, 30 days</t>
        </is>
      </c>
      <c r="F1" s="43" t="inlineStr">
        <is>
          <t xml:space="preserve">Loans, 30 days</t>
        </is>
      </c>
      <c r="G1" s="43" t="inlineStr">
        <is>
          <t xml:space="preserve">Unfilled, 30 days</t>
        </is>
      </c>
      <c r="H1" s="1" t="inlineStr">
        <is>
          <t xml:space="preserve">Notes</t>
        </is>
      </c>
    </row>
    <row r="2">
      <c r="A2" s="31" t="inlineStr">
        <is>
          <t xml:space="preserve">TW-50NM</t>
        </is>
      </c>
      <c r="B2" s="30" t="inlineStr">
        <is>
          <t xml:space="preserve">Torque wrench, 10-50 N·m</t>
        </is>
      </c>
      <c r="C2" s="35" t="inlineStr">
        <is>
          <t xml:space="preserve">durable</t>
        </is>
      </c>
      <c r="D2" s="34">
        <v>8</v>
      </c>
      <c r="E2" s="39">
        <f>IF(A2="","",SUMIFS(Transactions!$H$2:$H$1001,Transactions!$F$2:$F$1001,A2,Transactions!$C$2:$C$1001,"issue",Transactions!$D$2:$D$1001,"&gt;="&amp;(NOW()-30)))</f>
      </c>
      <c r="F2" s="39">
        <f>IF(A2="","",COUNTIFS(Transactions!$F$2:$F$1001,A2,Transactions!$C$2:$C$1001,"loan",Transactions!$D$2:$D$1001,"&gt;="&amp;(NOW()-30)))</f>
      </c>
      <c r="G2" s="39">
        <f>IF(A2="","",COUNTIFS(Transactions!$F$2:$F$1001,A2,Transactions!$C$2:$C$1001,"unfilled",Transactions!$D$2:$D$1001,"&gt;="&amp;(NOW()-30)))</f>
      </c>
      <c r="H2" s="36"/>
    </row>
    <row r="3">
      <c r="A3" s="31" t="inlineStr">
        <is>
          <t xml:space="preserve">MIC-0-25</t>
        </is>
      </c>
      <c r="B3" s="30" t="inlineStr">
        <is>
          <t xml:space="preserve">Micrometer, 0-25 mm</t>
        </is>
      </c>
      <c r="C3" s="35" t="inlineStr">
        <is>
          <t xml:space="preserve">gauge</t>
        </is>
      </c>
      <c r="D3" s="34">
        <v>96</v>
      </c>
      <c r="E3" s="39">
        <f>IF(A3="","",SUMIFS(Transactions!$H$2:$H$1001,Transactions!$F$2:$F$1001,A3,Transactions!$C$2:$C$1001,"issue",Transactions!$D$2:$D$1001,"&gt;="&amp;(NOW()-30)))</f>
      </c>
      <c r="F3" s="39">
        <f>IF(A3="","",COUNTIFS(Transactions!$F$2:$F$1001,A3,Transactions!$C$2:$C$1001,"loan",Transactions!$D$2:$D$1001,"&gt;="&amp;(NOW()-30)))</f>
      </c>
      <c r="G3" s="39">
        <f>IF(A3="","",COUNTIFS(Transactions!$F$2:$F$1001,A3,Transactions!$C$2:$C$1001,"unfilled",Transactions!$D$2:$D$1001,"&gt;="&amp;(NOW()-30)))</f>
      </c>
      <c r="H3" s="36"/>
    </row>
    <row r="4">
      <c r="A4" s="31" t="inlineStr">
        <is>
          <t xml:space="preserve">INS-0042</t>
        </is>
      </c>
      <c r="B4" s="30" t="inlineStr">
        <is>
          <t xml:space="preserve">Carbide inserts, CNMG 120408</t>
        </is>
      </c>
      <c r="C4" s="35" t="inlineStr">
        <is>
          <t xml:space="preserve">consumable</t>
        </is>
      </c>
      <c r="D4" s="34"/>
      <c r="E4" s="39">
        <f>IF(A4="","",SUMIFS(Transactions!$H$2:$H$1001,Transactions!$F$2:$F$1001,A4,Transactions!$C$2:$C$1001,"issue",Transactions!$D$2:$D$1001,"&gt;="&amp;(NOW()-30)))</f>
      </c>
      <c r="F4" s="39">
        <f>IF(A4="","",COUNTIFS(Transactions!$F$2:$F$1001,A4,Transactions!$C$2:$C$1001,"loan",Transactions!$D$2:$D$1001,"&gt;="&amp;(NOW()-30)))</f>
      </c>
      <c r="G4" s="39">
        <f>IF(A4="","",COUNTIFS(Transactions!$F$2:$F$1001,A4,Transactions!$C$2:$C$1001,"unfilled",Transactions!$D$2:$D$1001,"&gt;="&amp;(NOW()-30)))</f>
      </c>
      <c r="H4" s="36"/>
    </row>
    <row r="5">
      <c r="A5" s="31" t="inlineStr">
        <is>
          <t xml:space="preserve">DRL-HSS-8</t>
        </is>
      </c>
      <c r="B5" s="30" t="inlineStr">
        <is>
          <t xml:space="preserve">Drill bit, HSS 8 mm</t>
        </is>
      </c>
      <c r="C5" s="35" t="inlineStr">
        <is>
          <t xml:space="preserve">consumable</t>
        </is>
      </c>
      <c r="D5" s="34"/>
      <c r="E5" s="39">
        <f>IF(A5="","",SUMIFS(Transactions!$H$2:$H$1001,Transactions!$F$2:$F$1001,A5,Transactions!$C$2:$C$1001,"issue",Transactions!$D$2:$D$1001,"&gt;="&amp;(NOW()-30)))</f>
      </c>
      <c r="F5" s="39">
        <f>IF(A5="","",COUNTIFS(Transactions!$F$2:$F$1001,A5,Transactions!$C$2:$C$1001,"loan",Transactions!$D$2:$D$1001,"&gt;="&amp;(NOW()-30)))</f>
      </c>
      <c r="G5" s="39">
        <f>IF(A5="","",COUNTIFS(Transactions!$F$2:$F$1001,A5,Transactions!$C$2:$C$1001,"unfilled",Transactions!$D$2:$D$1001,"&gt;="&amp;(NOW()-30)))</f>
      </c>
      <c r="H5" s="36"/>
    </row>
    <row r="6">
      <c r="A6" s="31"/>
      <c r="B6" s="30"/>
      <c r="C6" s="35"/>
      <c r="D6" s="34"/>
      <c r="E6" s="39">
        <f>IF(A6="","",SUMIFS(Transactions!$H$2:$H$1001,Transactions!$F$2:$F$1001,A6,Transactions!$C$2:$C$1001,"issue",Transactions!$D$2:$D$1001,"&gt;="&amp;(NOW()-30)))</f>
      </c>
      <c r="F6" s="39">
        <f>IF(A6="","",COUNTIFS(Transactions!$F$2:$F$1001,A6,Transactions!$C$2:$C$1001,"loan",Transactions!$D$2:$D$1001,"&gt;="&amp;(NOW()-30)))</f>
      </c>
      <c r="G6" s="39">
        <f>IF(A6="","",COUNTIFS(Transactions!$F$2:$F$1001,A6,Transactions!$C$2:$C$1001,"unfilled",Transactions!$D$2:$D$1001,"&gt;="&amp;(NOW()-30)))</f>
      </c>
      <c r="H6" s="36"/>
    </row>
    <row r="7">
      <c r="A7" s="31"/>
      <c r="B7" s="30"/>
      <c r="C7" s="35"/>
      <c r="D7" s="34"/>
      <c r="E7" s="39">
        <f>IF(A7="","",SUMIFS(Transactions!$H$2:$H$1001,Transactions!$F$2:$F$1001,A7,Transactions!$C$2:$C$1001,"issue",Transactions!$D$2:$D$1001,"&gt;="&amp;(NOW()-30)))</f>
      </c>
      <c r="F7" s="39">
        <f>IF(A7="","",COUNTIFS(Transactions!$F$2:$F$1001,A7,Transactions!$C$2:$C$1001,"loan",Transactions!$D$2:$D$1001,"&gt;="&amp;(NOW()-30)))</f>
      </c>
      <c r="G7" s="39">
        <f>IF(A7="","",COUNTIFS(Transactions!$F$2:$F$1001,A7,Transactions!$C$2:$C$1001,"unfilled",Transactions!$D$2:$D$1001,"&gt;="&amp;(NOW()-30)))</f>
      </c>
      <c r="H7" s="36"/>
    </row>
    <row r="8">
      <c r="A8" s="31"/>
      <c r="B8" s="30"/>
      <c r="C8" s="35"/>
      <c r="D8" s="34"/>
      <c r="E8" s="39">
        <f>IF(A8="","",SUMIFS(Transactions!$H$2:$H$1001,Transactions!$F$2:$F$1001,A8,Transactions!$C$2:$C$1001,"issue",Transactions!$D$2:$D$1001,"&gt;="&amp;(NOW()-30)))</f>
      </c>
      <c r="F8" s="39">
        <f>IF(A8="","",COUNTIFS(Transactions!$F$2:$F$1001,A8,Transactions!$C$2:$C$1001,"loan",Transactions!$D$2:$D$1001,"&gt;="&amp;(NOW()-30)))</f>
      </c>
      <c r="G8" s="39">
        <f>IF(A8="","",COUNTIFS(Transactions!$F$2:$F$1001,A8,Transactions!$C$2:$C$1001,"unfilled",Transactions!$D$2:$D$1001,"&gt;="&amp;(NOW()-30)))</f>
      </c>
      <c r="H8" s="36"/>
    </row>
    <row r="9">
      <c r="A9" s="31"/>
      <c r="B9" s="30"/>
      <c r="C9" s="35"/>
      <c r="D9" s="34"/>
      <c r="E9" s="39">
        <f>IF(A9="","",SUMIFS(Transactions!$H$2:$H$1001,Transactions!$F$2:$F$1001,A9,Transactions!$C$2:$C$1001,"issue",Transactions!$D$2:$D$1001,"&gt;="&amp;(NOW()-30)))</f>
      </c>
      <c r="F9" s="39">
        <f>IF(A9="","",COUNTIFS(Transactions!$F$2:$F$1001,A9,Transactions!$C$2:$C$1001,"loan",Transactions!$D$2:$D$1001,"&gt;="&amp;(NOW()-30)))</f>
      </c>
      <c r="G9" s="39">
        <f>IF(A9="","",COUNTIFS(Transactions!$F$2:$F$1001,A9,Transactions!$C$2:$C$1001,"unfilled",Transactions!$D$2:$D$1001,"&gt;="&amp;(NOW()-30)))</f>
      </c>
      <c r="H9" s="36"/>
    </row>
    <row r="10">
      <c r="A10" s="31"/>
      <c r="B10" s="30"/>
      <c r="C10" s="35"/>
      <c r="D10" s="34"/>
      <c r="E10" s="39">
        <f>IF(A10="","",SUMIFS(Transactions!$H$2:$H$1001,Transactions!$F$2:$F$1001,A10,Transactions!$C$2:$C$1001,"issue",Transactions!$D$2:$D$1001,"&gt;="&amp;(NOW()-30)))</f>
      </c>
      <c r="F10" s="39">
        <f>IF(A10="","",COUNTIFS(Transactions!$F$2:$F$1001,A10,Transactions!$C$2:$C$1001,"loan",Transactions!$D$2:$D$1001,"&gt;="&amp;(NOW()-30)))</f>
      </c>
      <c r="G10" s="39">
        <f>IF(A10="","",COUNTIFS(Transactions!$F$2:$F$1001,A10,Transactions!$C$2:$C$1001,"unfilled",Transactions!$D$2:$D$1001,"&gt;="&amp;(NOW()-30)))</f>
      </c>
      <c r="H10" s="36"/>
    </row>
    <row r="11">
      <c r="A11" s="31"/>
      <c r="B11" s="30"/>
      <c r="C11" s="35"/>
      <c r="D11" s="34"/>
      <c r="E11" s="39">
        <f>IF(A11="","",SUMIFS(Transactions!$H$2:$H$1001,Transactions!$F$2:$F$1001,A11,Transactions!$C$2:$C$1001,"issue",Transactions!$D$2:$D$1001,"&gt;="&amp;(NOW()-30)))</f>
      </c>
      <c r="F11" s="39">
        <f>IF(A11="","",COUNTIFS(Transactions!$F$2:$F$1001,A11,Transactions!$C$2:$C$1001,"loan",Transactions!$D$2:$D$1001,"&gt;="&amp;(NOW()-30)))</f>
      </c>
      <c r="G11" s="39">
        <f>IF(A11="","",COUNTIFS(Transactions!$F$2:$F$1001,A11,Transactions!$C$2:$C$1001,"unfilled",Transactions!$D$2:$D$1001,"&gt;="&amp;(NOW()-30)))</f>
      </c>
      <c r="H11" s="36"/>
    </row>
    <row r="12">
      <c r="A12" s="31"/>
      <c r="B12" s="30"/>
      <c r="C12" s="35"/>
      <c r="D12" s="34"/>
      <c r="E12" s="39">
        <f>IF(A12="","",SUMIFS(Transactions!$H$2:$H$1001,Transactions!$F$2:$F$1001,A12,Transactions!$C$2:$C$1001,"issue",Transactions!$D$2:$D$1001,"&gt;="&amp;(NOW()-30)))</f>
      </c>
      <c r="F12" s="39">
        <f>IF(A12="","",COUNTIFS(Transactions!$F$2:$F$1001,A12,Transactions!$C$2:$C$1001,"loan",Transactions!$D$2:$D$1001,"&gt;="&amp;(NOW()-30)))</f>
      </c>
      <c r="G12" s="39">
        <f>IF(A12="","",COUNTIFS(Transactions!$F$2:$F$1001,A12,Transactions!$C$2:$C$1001,"unfilled",Transactions!$D$2:$D$1001,"&gt;="&amp;(NOW()-30)))</f>
      </c>
      <c r="H12" s="36"/>
    </row>
    <row r="13">
      <c r="A13" s="31"/>
      <c r="B13" s="30"/>
      <c r="C13" s="35"/>
      <c r="D13" s="34"/>
      <c r="E13" s="39">
        <f>IF(A13="","",SUMIFS(Transactions!$H$2:$H$1001,Transactions!$F$2:$F$1001,A13,Transactions!$C$2:$C$1001,"issue",Transactions!$D$2:$D$1001,"&gt;="&amp;(NOW()-30)))</f>
      </c>
      <c r="F13" s="39">
        <f>IF(A13="","",COUNTIFS(Transactions!$F$2:$F$1001,A13,Transactions!$C$2:$C$1001,"loan",Transactions!$D$2:$D$1001,"&gt;="&amp;(NOW()-30)))</f>
      </c>
      <c r="G13" s="39">
        <f>IF(A13="","",COUNTIFS(Transactions!$F$2:$F$1001,A13,Transactions!$C$2:$C$1001,"unfilled",Transactions!$D$2:$D$1001,"&gt;="&amp;(NOW()-30)))</f>
      </c>
      <c r="H13" s="36"/>
    </row>
    <row r="14">
      <c r="A14" s="31"/>
      <c r="B14" s="30"/>
      <c r="C14" s="35"/>
      <c r="D14" s="34"/>
      <c r="E14" s="39">
        <f>IF(A14="","",SUMIFS(Transactions!$H$2:$H$1001,Transactions!$F$2:$F$1001,A14,Transactions!$C$2:$C$1001,"issue",Transactions!$D$2:$D$1001,"&gt;="&amp;(NOW()-30)))</f>
      </c>
      <c r="F14" s="39">
        <f>IF(A14="","",COUNTIFS(Transactions!$F$2:$F$1001,A14,Transactions!$C$2:$C$1001,"loan",Transactions!$D$2:$D$1001,"&gt;="&amp;(NOW()-30)))</f>
      </c>
      <c r="G14" s="39">
        <f>IF(A14="","",COUNTIFS(Transactions!$F$2:$F$1001,A14,Transactions!$C$2:$C$1001,"unfilled",Transactions!$D$2:$D$1001,"&gt;="&amp;(NOW()-30)))</f>
      </c>
      <c r="H14" s="36"/>
    </row>
    <row r="15">
      <c r="A15" s="31"/>
      <c r="B15" s="30"/>
      <c r="C15" s="35"/>
      <c r="D15" s="34"/>
      <c r="E15" s="39">
        <f>IF(A15="","",SUMIFS(Transactions!$H$2:$H$1001,Transactions!$F$2:$F$1001,A15,Transactions!$C$2:$C$1001,"issue",Transactions!$D$2:$D$1001,"&gt;="&amp;(NOW()-30)))</f>
      </c>
      <c r="F15" s="39">
        <f>IF(A15="","",COUNTIFS(Transactions!$F$2:$F$1001,A15,Transactions!$C$2:$C$1001,"loan",Transactions!$D$2:$D$1001,"&gt;="&amp;(NOW()-30)))</f>
      </c>
      <c r="G15" s="39">
        <f>IF(A15="","",COUNTIFS(Transactions!$F$2:$F$1001,A15,Transactions!$C$2:$C$1001,"unfilled",Transactions!$D$2:$D$1001,"&gt;="&amp;(NOW()-30)))</f>
      </c>
      <c r="H15" s="36"/>
    </row>
    <row r="16">
      <c r="A16" s="31"/>
      <c r="B16" s="30"/>
      <c r="C16" s="35"/>
      <c r="D16" s="34"/>
      <c r="E16" s="39">
        <f>IF(A16="","",SUMIFS(Transactions!$H$2:$H$1001,Transactions!$F$2:$F$1001,A16,Transactions!$C$2:$C$1001,"issue",Transactions!$D$2:$D$1001,"&gt;="&amp;(NOW()-30)))</f>
      </c>
      <c r="F16" s="39">
        <f>IF(A16="","",COUNTIFS(Transactions!$F$2:$F$1001,A16,Transactions!$C$2:$C$1001,"loan",Transactions!$D$2:$D$1001,"&gt;="&amp;(NOW()-30)))</f>
      </c>
      <c r="G16" s="39">
        <f>IF(A16="","",COUNTIFS(Transactions!$F$2:$F$1001,A16,Transactions!$C$2:$C$1001,"unfilled",Transactions!$D$2:$D$1001,"&gt;="&amp;(NOW()-30)))</f>
      </c>
      <c r="H16" s="36"/>
    </row>
    <row r="17">
      <c r="A17" s="31"/>
      <c r="B17" s="30"/>
      <c r="C17" s="35"/>
      <c r="D17" s="34"/>
      <c r="E17" s="39">
        <f>IF(A17="","",SUMIFS(Transactions!$H$2:$H$1001,Transactions!$F$2:$F$1001,A17,Transactions!$C$2:$C$1001,"issue",Transactions!$D$2:$D$1001,"&gt;="&amp;(NOW()-30)))</f>
      </c>
      <c r="F17" s="39">
        <f>IF(A17="","",COUNTIFS(Transactions!$F$2:$F$1001,A17,Transactions!$C$2:$C$1001,"loan",Transactions!$D$2:$D$1001,"&gt;="&amp;(NOW()-30)))</f>
      </c>
      <c r="G17" s="39">
        <f>IF(A17="","",COUNTIFS(Transactions!$F$2:$F$1001,A17,Transactions!$C$2:$C$1001,"unfilled",Transactions!$D$2:$D$1001,"&gt;="&amp;(NOW()-30)))</f>
      </c>
      <c r="H17" s="36"/>
    </row>
    <row r="18">
      <c r="A18" s="31"/>
      <c r="B18" s="30"/>
      <c r="C18" s="35"/>
      <c r="D18" s="34"/>
      <c r="E18" s="39">
        <f>IF(A18="","",SUMIFS(Transactions!$H$2:$H$1001,Transactions!$F$2:$F$1001,A18,Transactions!$C$2:$C$1001,"issue",Transactions!$D$2:$D$1001,"&gt;="&amp;(NOW()-30)))</f>
      </c>
      <c r="F18" s="39">
        <f>IF(A18="","",COUNTIFS(Transactions!$F$2:$F$1001,A18,Transactions!$C$2:$C$1001,"loan",Transactions!$D$2:$D$1001,"&gt;="&amp;(NOW()-30)))</f>
      </c>
      <c r="G18" s="39">
        <f>IF(A18="","",COUNTIFS(Transactions!$F$2:$F$1001,A18,Transactions!$C$2:$C$1001,"unfilled",Transactions!$D$2:$D$1001,"&gt;="&amp;(NOW()-30)))</f>
      </c>
      <c r="H18" s="36"/>
    </row>
    <row r="19">
      <c r="A19" s="31"/>
      <c r="B19" s="30"/>
      <c r="C19" s="35"/>
      <c r="D19" s="34"/>
      <c r="E19" s="39">
        <f>IF(A19="","",SUMIFS(Transactions!$H$2:$H$1001,Transactions!$F$2:$F$1001,A19,Transactions!$C$2:$C$1001,"issue",Transactions!$D$2:$D$1001,"&gt;="&amp;(NOW()-30)))</f>
      </c>
      <c r="F19" s="39">
        <f>IF(A19="","",COUNTIFS(Transactions!$F$2:$F$1001,A19,Transactions!$C$2:$C$1001,"loan",Transactions!$D$2:$D$1001,"&gt;="&amp;(NOW()-30)))</f>
      </c>
      <c r="G19" s="39">
        <f>IF(A19="","",COUNTIFS(Transactions!$F$2:$F$1001,A19,Transactions!$C$2:$C$1001,"unfilled",Transactions!$D$2:$D$1001,"&gt;="&amp;(NOW()-30)))</f>
      </c>
      <c r="H19" s="36"/>
    </row>
    <row r="20">
      <c r="A20" s="31"/>
      <c r="B20" s="30"/>
      <c r="C20" s="35"/>
      <c r="D20" s="34"/>
      <c r="E20" s="39">
        <f>IF(A20="","",SUMIFS(Transactions!$H$2:$H$1001,Transactions!$F$2:$F$1001,A20,Transactions!$C$2:$C$1001,"issue",Transactions!$D$2:$D$1001,"&gt;="&amp;(NOW()-30)))</f>
      </c>
      <c r="F20" s="39">
        <f>IF(A20="","",COUNTIFS(Transactions!$F$2:$F$1001,A20,Transactions!$C$2:$C$1001,"loan",Transactions!$D$2:$D$1001,"&gt;="&amp;(NOW()-30)))</f>
      </c>
      <c r="G20" s="39">
        <f>IF(A20="","",COUNTIFS(Transactions!$F$2:$F$1001,A20,Transactions!$C$2:$C$1001,"unfilled",Transactions!$D$2:$D$1001,"&gt;="&amp;(NOW()-30)))</f>
      </c>
      <c r="H20" s="36"/>
    </row>
    <row r="21">
      <c r="A21" s="31"/>
      <c r="B21" s="30"/>
      <c r="C21" s="35"/>
      <c r="D21" s="34"/>
      <c r="E21" s="39">
        <f>IF(A21="","",SUMIFS(Transactions!$H$2:$H$1001,Transactions!$F$2:$F$1001,A21,Transactions!$C$2:$C$1001,"issue",Transactions!$D$2:$D$1001,"&gt;="&amp;(NOW()-30)))</f>
      </c>
      <c r="F21" s="39">
        <f>IF(A21="","",COUNTIFS(Transactions!$F$2:$F$1001,A21,Transactions!$C$2:$C$1001,"loan",Transactions!$D$2:$D$1001,"&gt;="&amp;(NOW()-30)))</f>
      </c>
      <c r="G21" s="39">
        <f>IF(A21="","",COUNTIFS(Transactions!$F$2:$F$1001,A21,Transactions!$C$2:$C$1001,"unfilled",Transactions!$D$2:$D$1001,"&gt;="&amp;(NOW()-30)))</f>
      </c>
      <c r="H21" s="36"/>
    </row>
    <row r="22">
      <c r="A22" s="31"/>
      <c r="B22" s="30"/>
      <c r="C22" s="35"/>
      <c r="D22" s="34"/>
      <c r="E22" s="39">
        <f>IF(A22="","",SUMIFS(Transactions!$H$2:$H$1001,Transactions!$F$2:$F$1001,A22,Transactions!$C$2:$C$1001,"issue",Transactions!$D$2:$D$1001,"&gt;="&amp;(NOW()-30)))</f>
      </c>
      <c r="F22" s="39">
        <f>IF(A22="","",COUNTIFS(Transactions!$F$2:$F$1001,A22,Transactions!$C$2:$C$1001,"loan",Transactions!$D$2:$D$1001,"&gt;="&amp;(NOW()-30)))</f>
      </c>
      <c r="G22" s="39">
        <f>IF(A22="","",COUNTIFS(Transactions!$F$2:$F$1001,A22,Transactions!$C$2:$C$1001,"unfilled",Transactions!$D$2:$D$1001,"&gt;="&amp;(NOW()-30)))</f>
      </c>
      <c r="H22" s="36"/>
    </row>
    <row r="23">
      <c r="A23" s="31"/>
      <c r="B23" s="30"/>
      <c r="C23" s="35"/>
      <c r="D23" s="34"/>
      <c r="E23" s="39">
        <f>IF(A23="","",SUMIFS(Transactions!$H$2:$H$1001,Transactions!$F$2:$F$1001,A23,Transactions!$C$2:$C$1001,"issue",Transactions!$D$2:$D$1001,"&gt;="&amp;(NOW()-30)))</f>
      </c>
      <c r="F23" s="39">
        <f>IF(A23="","",COUNTIFS(Transactions!$F$2:$F$1001,A23,Transactions!$C$2:$C$1001,"loan",Transactions!$D$2:$D$1001,"&gt;="&amp;(NOW()-30)))</f>
      </c>
      <c r="G23" s="39">
        <f>IF(A23="","",COUNTIFS(Transactions!$F$2:$F$1001,A23,Transactions!$C$2:$C$1001,"unfilled",Transactions!$D$2:$D$1001,"&gt;="&amp;(NOW()-30)))</f>
      </c>
      <c r="H23" s="36"/>
    </row>
    <row r="24">
      <c r="A24" s="31"/>
      <c r="B24" s="30"/>
      <c r="C24" s="35"/>
      <c r="D24" s="34"/>
      <c r="E24" s="39">
        <f>IF(A24="","",SUMIFS(Transactions!$H$2:$H$1001,Transactions!$F$2:$F$1001,A24,Transactions!$C$2:$C$1001,"issue",Transactions!$D$2:$D$1001,"&gt;="&amp;(NOW()-30)))</f>
      </c>
      <c r="F24" s="39">
        <f>IF(A24="","",COUNTIFS(Transactions!$F$2:$F$1001,A24,Transactions!$C$2:$C$1001,"loan",Transactions!$D$2:$D$1001,"&gt;="&amp;(NOW()-30)))</f>
      </c>
      <c r="G24" s="39">
        <f>IF(A24="","",COUNTIFS(Transactions!$F$2:$F$1001,A24,Transactions!$C$2:$C$1001,"unfilled",Transactions!$D$2:$D$1001,"&gt;="&amp;(NOW()-30)))</f>
      </c>
      <c r="H24" s="36"/>
    </row>
    <row r="25">
      <c r="A25" s="31"/>
      <c r="B25" s="30"/>
      <c r="C25" s="35"/>
      <c r="D25" s="34"/>
      <c r="E25" s="39">
        <f>IF(A25="","",SUMIFS(Transactions!$H$2:$H$1001,Transactions!$F$2:$F$1001,A25,Transactions!$C$2:$C$1001,"issue",Transactions!$D$2:$D$1001,"&gt;="&amp;(NOW()-30)))</f>
      </c>
      <c r="F25" s="39">
        <f>IF(A25="","",COUNTIFS(Transactions!$F$2:$F$1001,A25,Transactions!$C$2:$C$1001,"loan",Transactions!$D$2:$D$1001,"&gt;="&amp;(NOW()-30)))</f>
      </c>
      <c r="G25" s="39">
        <f>IF(A25="","",COUNTIFS(Transactions!$F$2:$F$1001,A25,Transactions!$C$2:$C$1001,"unfilled",Transactions!$D$2:$D$1001,"&gt;="&amp;(NOW()-30)))</f>
      </c>
      <c r="H25" s="36"/>
    </row>
    <row r="26">
      <c r="A26" s="31"/>
      <c r="B26" s="30"/>
      <c r="C26" s="35"/>
      <c r="D26" s="34"/>
      <c r="E26" s="39">
        <f>IF(A26="","",SUMIFS(Transactions!$H$2:$H$1001,Transactions!$F$2:$F$1001,A26,Transactions!$C$2:$C$1001,"issue",Transactions!$D$2:$D$1001,"&gt;="&amp;(NOW()-30)))</f>
      </c>
      <c r="F26" s="39">
        <f>IF(A26="","",COUNTIFS(Transactions!$F$2:$F$1001,A26,Transactions!$C$2:$C$1001,"loan",Transactions!$D$2:$D$1001,"&gt;="&amp;(NOW()-30)))</f>
      </c>
      <c r="G26" s="39">
        <f>IF(A26="","",COUNTIFS(Transactions!$F$2:$F$1001,A26,Transactions!$C$2:$C$1001,"unfilled",Transactions!$D$2:$D$1001,"&gt;="&amp;(NOW()-30)))</f>
      </c>
      <c r="H26" s="36"/>
    </row>
    <row r="27">
      <c r="A27" s="31"/>
      <c r="B27" s="30"/>
      <c r="C27" s="35"/>
      <c r="D27" s="34"/>
      <c r="E27" s="39">
        <f>IF(A27="","",SUMIFS(Transactions!$H$2:$H$1001,Transactions!$F$2:$F$1001,A27,Transactions!$C$2:$C$1001,"issue",Transactions!$D$2:$D$1001,"&gt;="&amp;(NOW()-30)))</f>
      </c>
      <c r="F27" s="39">
        <f>IF(A27="","",COUNTIFS(Transactions!$F$2:$F$1001,A27,Transactions!$C$2:$C$1001,"loan",Transactions!$D$2:$D$1001,"&gt;="&amp;(NOW()-30)))</f>
      </c>
      <c r="G27" s="39">
        <f>IF(A27="","",COUNTIFS(Transactions!$F$2:$F$1001,A27,Transactions!$C$2:$C$1001,"unfilled",Transactions!$D$2:$D$1001,"&gt;="&amp;(NOW()-30)))</f>
      </c>
      <c r="H27" s="36"/>
    </row>
    <row r="28">
      <c r="A28" s="31"/>
      <c r="B28" s="30"/>
      <c r="C28" s="35"/>
      <c r="D28" s="34"/>
      <c r="E28" s="39">
        <f>IF(A28="","",SUMIFS(Transactions!$H$2:$H$1001,Transactions!$F$2:$F$1001,A28,Transactions!$C$2:$C$1001,"issue",Transactions!$D$2:$D$1001,"&gt;="&amp;(NOW()-30)))</f>
      </c>
      <c r="F28" s="39">
        <f>IF(A28="","",COUNTIFS(Transactions!$F$2:$F$1001,A28,Transactions!$C$2:$C$1001,"loan",Transactions!$D$2:$D$1001,"&gt;="&amp;(NOW()-30)))</f>
      </c>
      <c r="G28" s="39">
        <f>IF(A28="","",COUNTIFS(Transactions!$F$2:$F$1001,A28,Transactions!$C$2:$C$1001,"unfilled",Transactions!$D$2:$D$1001,"&gt;="&amp;(NOW()-30)))</f>
      </c>
      <c r="H28" s="36"/>
    </row>
    <row r="29">
      <c r="A29" s="31"/>
      <c r="B29" s="30"/>
      <c r="C29" s="35"/>
      <c r="D29" s="34"/>
      <c r="E29" s="39">
        <f>IF(A29="","",SUMIFS(Transactions!$H$2:$H$1001,Transactions!$F$2:$F$1001,A29,Transactions!$C$2:$C$1001,"issue",Transactions!$D$2:$D$1001,"&gt;="&amp;(NOW()-30)))</f>
      </c>
      <c r="F29" s="39">
        <f>IF(A29="","",COUNTIFS(Transactions!$F$2:$F$1001,A29,Transactions!$C$2:$C$1001,"loan",Transactions!$D$2:$D$1001,"&gt;="&amp;(NOW()-30)))</f>
      </c>
      <c r="G29" s="39">
        <f>IF(A29="","",COUNTIFS(Transactions!$F$2:$F$1001,A29,Transactions!$C$2:$C$1001,"unfilled",Transactions!$D$2:$D$1001,"&gt;="&amp;(NOW()-30)))</f>
      </c>
      <c r="H29" s="36"/>
    </row>
    <row r="30">
      <c r="A30" s="31"/>
      <c r="B30" s="30"/>
      <c r="C30" s="35"/>
      <c r="D30" s="34"/>
      <c r="E30" s="39">
        <f>IF(A30="","",SUMIFS(Transactions!$H$2:$H$1001,Transactions!$F$2:$F$1001,A30,Transactions!$C$2:$C$1001,"issue",Transactions!$D$2:$D$1001,"&gt;="&amp;(NOW()-30)))</f>
      </c>
      <c r="F30" s="39">
        <f>IF(A30="","",COUNTIFS(Transactions!$F$2:$F$1001,A30,Transactions!$C$2:$C$1001,"loan",Transactions!$D$2:$D$1001,"&gt;="&amp;(NOW()-30)))</f>
      </c>
      <c r="G30" s="39">
        <f>IF(A30="","",COUNTIFS(Transactions!$F$2:$F$1001,A30,Transactions!$C$2:$C$1001,"unfilled",Transactions!$D$2:$D$1001,"&gt;="&amp;(NOW()-30)))</f>
      </c>
      <c r="H30" s="36"/>
    </row>
    <row r="31">
      <c r="A31" s="31"/>
      <c r="B31" s="30"/>
      <c r="C31" s="35"/>
      <c r="D31" s="34"/>
      <c r="E31" s="39">
        <f>IF(A31="","",SUMIFS(Transactions!$H$2:$H$1001,Transactions!$F$2:$F$1001,A31,Transactions!$C$2:$C$1001,"issue",Transactions!$D$2:$D$1001,"&gt;="&amp;(NOW()-30)))</f>
      </c>
      <c r="F31" s="39">
        <f>IF(A31="","",COUNTIFS(Transactions!$F$2:$F$1001,A31,Transactions!$C$2:$C$1001,"loan",Transactions!$D$2:$D$1001,"&gt;="&amp;(NOW()-30)))</f>
      </c>
      <c r="G31" s="39">
        <f>IF(A31="","",COUNTIFS(Transactions!$F$2:$F$1001,A31,Transactions!$C$2:$C$1001,"unfilled",Transactions!$D$2:$D$1001,"&gt;="&amp;(NOW()-30)))</f>
      </c>
      <c r="H31" s="36"/>
    </row>
    <row r="32">
      <c r="A32" s="31"/>
      <c r="B32" s="30"/>
      <c r="C32" s="35"/>
      <c r="D32" s="34"/>
      <c r="E32" s="39">
        <f>IF(A32="","",SUMIFS(Transactions!$H$2:$H$1001,Transactions!$F$2:$F$1001,A32,Transactions!$C$2:$C$1001,"issue",Transactions!$D$2:$D$1001,"&gt;="&amp;(NOW()-30)))</f>
      </c>
      <c r="F32" s="39">
        <f>IF(A32="","",COUNTIFS(Transactions!$F$2:$F$1001,A32,Transactions!$C$2:$C$1001,"loan",Transactions!$D$2:$D$1001,"&gt;="&amp;(NOW()-30)))</f>
      </c>
      <c r="G32" s="39">
        <f>IF(A32="","",COUNTIFS(Transactions!$F$2:$F$1001,A32,Transactions!$C$2:$C$1001,"unfilled",Transactions!$D$2:$D$1001,"&gt;="&amp;(NOW()-30)))</f>
      </c>
      <c r="H32" s="36"/>
    </row>
    <row r="33">
      <c r="A33" s="31"/>
      <c r="B33" s="30"/>
      <c r="C33" s="35"/>
      <c r="D33" s="34"/>
      <c r="E33" s="39">
        <f>IF(A33="","",SUMIFS(Transactions!$H$2:$H$1001,Transactions!$F$2:$F$1001,A33,Transactions!$C$2:$C$1001,"issue",Transactions!$D$2:$D$1001,"&gt;="&amp;(NOW()-30)))</f>
      </c>
      <c r="F33" s="39">
        <f>IF(A33="","",COUNTIFS(Transactions!$F$2:$F$1001,A33,Transactions!$C$2:$C$1001,"loan",Transactions!$D$2:$D$1001,"&gt;="&amp;(NOW()-30)))</f>
      </c>
      <c r="G33" s="39">
        <f>IF(A33="","",COUNTIFS(Transactions!$F$2:$F$1001,A33,Transactions!$C$2:$C$1001,"unfilled",Transactions!$D$2:$D$1001,"&gt;="&amp;(NOW()-30)))</f>
      </c>
      <c r="H33" s="36"/>
    </row>
    <row r="34">
      <c r="A34" s="31"/>
      <c r="B34" s="30"/>
      <c r="C34" s="35"/>
      <c r="D34" s="34"/>
      <c r="E34" s="39">
        <f>IF(A34="","",SUMIFS(Transactions!$H$2:$H$1001,Transactions!$F$2:$F$1001,A34,Transactions!$C$2:$C$1001,"issue",Transactions!$D$2:$D$1001,"&gt;="&amp;(NOW()-30)))</f>
      </c>
      <c r="F34" s="39">
        <f>IF(A34="","",COUNTIFS(Transactions!$F$2:$F$1001,A34,Transactions!$C$2:$C$1001,"loan",Transactions!$D$2:$D$1001,"&gt;="&amp;(NOW()-30)))</f>
      </c>
      <c r="G34" s="39">
        <f>IF(A34="","",COUNTIFS(Transactions!$F$2:$F$1001,A34,Transactions!$C$2:$C$1001,"unfilled",Transactions!$D$2:$D$1001,"&gt;="&amp;(NOW()-30)))</f>
      </c>
      <c r="H34" s="36"/>
    </row>
    <row r="35">
      <c r="A35" s="31"/>
      <c r="B35" s="30"/>
      <c r="C35" s="35"/>
      <c r="D35" s="34"/>
      <c r="E35" s="39">
        <f>IF(A35="","",SUMIFS(Transactions!$H$2:$H$1001,Transactions!$F$2:$F$1001,A35,Transactions!$C$2:$C$1001,"issue",Transactions!$D$2:$D$1001,"&gt;="&amp;(NOW()-30)))</f>
      </c>
      <c r="F35" s="39">
        <f>IF(A35="","",COUNTIFS(Transactions!$F$2:$F$1001,A35,Transactions!$C$2:$C$1001,"loan",Transactions!$D$2:$D$1001,"&gt;="&amp;(NOW()-30)))</f>
      </c>
      <c r="G35" s="39">
        <f>IF(A35="","",COUNTIFS(Transactions!$F$2:$F$1001,A35,Transactions!$C$2:$C$1001,"unfilled",Transactions!$D$2:$D$1001,"&gt;="&amp;(NOW()-30)))</f>
      </c>
      <c r="H35" s="36"/>
    </row>
    <row r="36">
      <c r="A36" s="31"/>
      <c r="B36" s="30"/>
      <c r="C36" s="35"/>
      <c r="D36" s="34"/>
      <c r="E36" s="39">
        <f>IF(A36="","",SUMIFS(Transactions!$H$2:$H$1001,Transactions!$F$2:$F$1001,A36,Transactions!$C$2:$C$1001,"issue",Transactions!$D$2:$D$1001,"&gt;="&amp;(NOW()-30)))</f>
      </c>
      <c r="F36" s="39">
        <f>IF(A36="","",COUNTIFS(Transactions!$F$2:$F$1001,A36,Transactions!$C$2:$C$1001,"loan",Transactions!$D$2:$D$1001,"&gt;="&amp;(NOW()-30)))</f>
      </c>
      <c r="G36" s="39">
        <f>IF(A36="","",COUNTIFS(Transactions!$F$2:$F$1001,A36,Transactions!$C$2:$C$1001,"unfilled",Transactions!$D$2:$D$1001,"&gt;="&amp;(NOW()-30)))</f>
      </c>
      <c r="H36" s="36"/>
    </row>
    <row r="37">
      <c r="A37" s="31"/>
      <c r="B37" s="30"/>
      <c r="C37" s="35"/>
      <c r="D37" s="34"/>
      <c r="E37" s="39">
        <f>IF(A37="","",SUMIFS(Transactions!$H$2:$H$1001,Transactions!$F$2:$F$1001,A37,Transactions!$C$2:$C$1001,"issue",Transactions!$D$2:$D$1001,"&gt;="&amp;(NOW()-30)))</f>
      </c>
      <c r="F37" s="39">
        <f>IF(A37="","",COUNTIFS(Transactions!$F$2:$F$1001,A37,Transactions!$C$2:$C$1001,"loan",Transactions!$D$2:$D$1001,"&gt;="&amp;(NOW()-30)))</f>
      </c>
      <c r="G37" s="39">
        <f>IF(A37="","",COUNTIFS(Transactions!$F$2:$F$1001,A37,Transactions!$C$2:$C$1001,"unfilled",Transactions!$D$2:$D$1001,"&gt;="&amp;(NOW()-30)))</f>
      </c>
      <c r="H37" s="36"/>
    </row>
    <row r="38">
      <c r="A38" s="31"/>
      <c r="B38" s="30"/>
      <c r="C38" s="35"/>
      <c r="D38" s="34"/>
      <c r="E38" s="39">
        <f>IF(A38="","",SUMIFS(Transactions!$H$2:$H$1001,Transactions!$F$2:$F$1001,A38,Transactions!$C$2:$C$1001,"issue",Transactions!$D$2:$D$1001,"&gt;="&amp;(NOW()-30)))</f>
      </c>
      <c r="F38" s="39">
        <f>IF(A38="","",COUNTIFS(Transactions!$F$2:$F$1001,A38,Transactions!$C$2:$C$1001,"loan",Transactions!$D$2:$D$1001,"&gt;="&amp;(NOW()-30)))</f>
      </c>
      <c r="G38" s="39">
        <f>IF(A38="","",COUNTIFS(Transactions!$F$2:$F$1001,A38,Transactions!$C$2:$C$1001,"unfilled",Transactions!$D$2:$D$1001,"&gt;="&amp;(NOW()-30)))</f>
      </c>
      <c r="H38" s="36"/>
    </row>
    <row r="39">
      <c r="A39" s="31"/>
      <c r="B39" s="30"/>
      <c r="C39" s="35"/>
      <c r="D39" s="34"/>
      <c r="E39" s="39">
        <f>IF(A39="","",SUMIFS(Transactions!$H$2:$H$1001,Transactions!$F$2:$F$1001,A39,Transactions!$C$2:$C$1001,"issue",Transactions!$D$2:$D$1001,"&gt;="&amp;(NOW()-30)))</f>
      </c>
      <c r="F39" s="39">
        <f>IF(A39="","",COUNTIFS(Transactions!$F$2:$F$1001,A39,Transactions!$C$2:$C$1001,"loan",Transactions!$D$2:$D$1001,"&gt;="&amp;(NOW()-30)))</f>
      </c>
      <c r="G39" s="39">
        <f>IF(A39="","",COUNTIFS(Transactions!$F$2:$F$1001,A39,Transactions!$C$2:$C$1001,"unfilled",Transactions!$D$2:$D$1001,"&gt;="&amp;(NOW()-30)))</f>
      </c>
      <c r="H39" s="36"/>
    </row>
    <row r="40">
      <c r="A40" s="31"/>
      <c r="B40" s="30"/>
      <c r="C40" s="35"/>
      <c r="D40" s="34"/>
      <c r="E40" s="39">
        <f>IF(A40="","",SUMIFS(Transactions!$H$2:$H$1001,Transactions!$F$2:$F$1001,A40,Transactions!$C$2:$C$1001,"issue",Transactions!$D$2:$D$1001,"&gt;="&amp;(NOW()-30)))</f>
      </c>
      <c r="F40" s="39">
        <f>IF(A40="","",COUNTIFS(Transactions!$F$2:$F$1001,A40,Transactions!$C$2:$C$1001,"loan",Transactions!$D$2:$D$1001,"&gt;="&amp;(NOW()-30)))</f>
      </c>
      <c r="G40" s="39">
        <f>IF(A40="","",COUNTIFS(Transactions!$F$2:$F$1001,A40,Transactions!$C$2:$C$1001,"unfilled",Transactions!$D$2:$D$1001,"&gt;="&amp;(NOW()-30)))</f>
      </c>
      <c r="H40" s="36"/>
    </row>
    <row r="41">
      <c r="A41" s="31"/>
      <c r="B41" s="30"/>
      <c r="C41" s="35"/>
      <c r="D41" s="34"/>
      <c r="E41" s="39">
        <f>IF(A41="","",SUMIFS(Transactions!$H$2:$H$1001,Transactions!$F$2:$F$1001,A41,Transactions!$C$2:$C$1001,"issue",Transactions!$D$2:$D$1001,"&gt;="&amp;(NOW()-30)))</f>
      </c>
      <c r="F41" s="39">
        <f>IF(A41="","",COUNTIFS(Transactions!$F$2:$F$1001,A41,Transactions!$C$2:$C$1001,"loan",Transactions!$D$2:$D$1001,"&gt;="&amp;(NOW()-30)))</f>
      </c>
      <c r="G41" s="39">
        <f>IF(A41="","",COUNTIFS(Transactions!$F$2:$F$1001,A41,Transactions!$C$2:$C$1001,"unfilled",Transactions!$D$2:$D$1001,"&gt;="&amp;(NOW()-30)))</f>
      </c>
      <c r="H41" s="36"/>
    </row>
    <row r="42">
      <c r="A42" s="31"/>
      <c r="B42" s="30"/>
      <c r="C42" s="35"/>
      <c r="D42" s="34"/>
      <c r="E42" s="39">
        <f>IF(A42="","",SUMIFS(Transactions!$H$2:$H$1001,Transactions!$F$2:$F$1001,A42,Transactions!$C$2:$C$1001,"issue",Transactions!$D$2:$D$1001,"&gt;="&amp;(NOW()-30)))</f>
      </c>
      <c r="F42" s="39">
        <f>IF(A42="","",COUNTIFS(Transactions!$F$2:$F$1001,A42,Transactions!$C$2:$C$1001,"loan",Transactions!$D$2:$D$1001,"&gt;="&amp;(NOW()-30)))</f>
      </c>
      <c r="G42" s="39">
        <f>IF(A42="","",COUNTIFS(Transactions!$F$2:$F$1001,A42,Transactions!$C$2:$C$1001,"unfilled",Transactions!$D$2:$D$1001,"&gt;="&amp;(NOW()-30)))</f>
      </c>
      <c r="H42" s="36"/>
    </row>
    <row r="43">
      <c r="A43" s="31"/>
      <c r="B43" s="30"/>
      <c r="C43" s="35"/>
      <c r="D43" s="34"/>
      <c r="E43" s="39">
        <f>IF(A43="","",SUMIFS(Transactions!$H$2:$H$1001,Transactions!$F$2:$F$1001,A43,Transactions!$C$2:$C$1001,"issue",Transactions!$D$2:$D$1001,"&gt;="&amp;(NOW()-30)))</f>
      </c>
      <c r="F43" s="39">
        <f>IF(A43="","",COUNTIFS(Transactions!$F$2:$F$1001,A43,Transactions!$C$2:$C$1001,"loan",Transactions!$D$2:$D$1001,"&gt;="&amp;(NOW()-30)))</f>
      </c>
      <c r="G43" s="39">
        <f>IF(A43="","",COUNTIFS(Transactions!$F$2:$F$1001,A43,Transactions!$C$2:$C$1001,"unfilled",Transactions!$D$2:$D$1001,"&gt;="&amp;(NOW()-30)))</f>
      </c>
      <c r="H43" s="36"/>
    </row>
    <row r="44">
      <c r="A44" s="31"/>
      <c r="B44" s="30"/>
      <c r="C44" s="35"/>
      <c r="D44" s="34"/>
      <c r="E44" s="39">
        <f>IF(A44="","",SUMIFS(Transactions!$H$2:$H$1001,Transactions!$F$2:$F$1001,A44,Transactions!$C$2:$C$1001,"issue",Transactions!$D$2:$D$1001,"&gt;="&amp;(NOW()-30)))</f>
      </c>
      <c r="F44" s="39">
        <f>IF(A44="","",COUNTIFS(Transactions!$F$2:$F$1001,A44,Transactions!$C$2:$C$1001,"loan",Transactions!$D$2:$D$1001,"&gt;="&amp;(NOW()-30)))</f>
      </c>
      <c r="G44" s="39">
        <f>IF(A44="","",COUNTIFS(Transactions!$F$2:$F$1001,A44,Transactions!$C$2:$C$1001,"unfilled",Transactions!$D$2:$D$1001,"&gt;="&amp;(NOW()-30)))</f>
      </c>
      <c r="H44" s="36"/>
    </row>
    <row r="45">
      <c r="A45" s="31"/>
      <c r="B45" s="30"/>
      <c r="C45" s="35"/>
      <c r="D45" s="34"/>
      <c r="E45" s="39">
        <f>IF(A45="","",SUMIFS(Transactions!$H$2:$H$1001,Transactions!$F$2:$F$1001,A45,Transactions!$C$2:$C$1001,"issue",Transactions!$D$2:$D$1001,"&gt;="&amp;(NOW()-30)))</f>
      </c>
      <c r="F45" s="39">
        <f>IF(A45="","",COUNTIFS(Transactions!$F$2:$F$1001,A45,Transactions!$C$2:$C$1001,"loan",Transactions!$D$2:$D$1001,"&gt;="&amp;(NOW()-30)))</f>
      </c>
      <c r="G45" s="39">
        <f>IF(A45="","",COUNTIFS(Transactions!$F$2:$F$1001,A45,Transactions!$C$2:$C$1001,"unfilled",Transactions!$D$2:$D$1001,"&gt;="&amp;(NOW()-30)))</f>
      </c>
      <c r="H45" s="36"/>
    </row>
    <row r="46">
      <c r="A46" s="31"/>
      <c r="B46" s="30"/>
      <c r="C46" s="35"/>
      <c r="D46" s="34"/>
      <c r="E46" s="39">
        <f>IF(A46="","",SUMIFS(Transactions!$H$2:$H$1001,Transactions!$F$2:$F$1001,A46,Transactions!$C$2:$C$1001,"issue",Transactions!$D$2:$D$1001,"&gt;="&amp;(NOW()-30)))</f>
      </c>
      <c r="F46" s="39">
        <f>IF(A46="","",COUNTIFS(Transactions!$F$2:$F$1001,A46,Transactions!$C$2:$C$1001,"loan",Transactions!$D$2:$D$1001,"&gt;="&amp;(NOW()-30)))</f>
      </c>
      <c r="G46" s="39">
        <f>IF(A46="","",COUNTIFS(Transactions!$F$2:$F$1001,A46,Transactions!$C$2:$C$1001,"unfilled",Transactions!$D$2:$D$1001,"&gt;="&amp;(NOW()-30)))</f>
      </c>
      <c r="H46" s="36"/>
    </row>
    <row r="47">
      <c r="A47" s="31"/>
      <c r="B47" s="30"/>
      <c r="C47" s="35"/>
      <c r="D47" s="34"/>
      <c r="E47" s="39">
        <f>IF(A47="","",SUMIFS(Transactions!$H$2:$H$1001,Transactions!$F$2:$F$1001,A47,Transactions!$C$2:$C$1001,"issue",Transactions!$D$2:$D$1001,"&gt;="&amp;(NOW()-30)))</f>
      </c>
      <c r="F47" s="39">
        <f>IF(A47="","",COUNTIFS(Transactions!$F$2:$F$1001,A47,Transactions!$C$2:$C$1001,"loan",Transactions!$D$2:$D$1001,"&gt;="&amp;(NOW()-30)))</f>
      </c>
      <c r="G47" s="39">
        <f>IF(A47="","",COUNTIFS(Transactions!$F$2:$F$1001,A47,Transactions!$C$2:$C$1001,"unfilled",Transactions!$D$2:$D$1001,"&gt;="&amp;(NOW()-30)))</f>
      </c>
      <c r="H47" s="36"/>
    </row>
    <row r="48">
      <c r="A48" s="31"/>
      <c r="B48" s="30"/>
      <c r="C48" s="35"/>
      <c r="D48" s="34"/>
      <c r="E48" s="39">
        <f>IF(A48="","",SUMIFS(Transactions!$H$2:$H$1001,Transactions!$F$2:$F$1001,A48,Transactions!$C$2:$C$1001,"issue",Transactions!$D$2:$D$1001,"&gt;="&amp;(NOW()-30)))</f>
      </c>
      <c r="F48" s="39">
        <f>IF(A48="","",COUNTIFS(Transactions!$F$2:$F$1001,A48,Transactions!$C$2:$C$1001,"loan",Transactions!$D$2:$D$1001,"&gt;="&amp;(NOW()-30)))</f>
      </c>
      <c r="G48" s="39">
        <f>IF(A48="","",COUNTIFS(Transactions!$F$2:$F$1001,A48,Transactions!$C$2:$C$1001,"unfilled",Transactions!$D$2:$D$1001,"&gt;="&amp;(NOW()-30)))</f>
      </c>
      <c r="H48" s="36"/>
    </row>
    <row r="49">
      <c r="A49" s="31"/>
      <c r="B49" s="30"/>
      <c r="C49" s="35"/>
      <c r="D49" s="34"/>
      <c r="E49" s="39">
        <f>IF(A49="","",SUMIFS(Transactions!$H$2:$H$1001,Transactions!$F$2:$F$1001,A49,Transactions!$C$2:$C$1001,"issue",Transactions!$D$2:$D$1001,"&gt;="&amp;(NOW()-30)))</f>
      </c>
      <c r="F49" s="39">
        <f>IF(A49="","",COUNTIFS(Transactions!$F$2:$F$1001,A49,Transactions!$C$2:$C$1001,"loan",Transactions!$D$2:$D$1001,"&gt;="&amp;(NOW()-30)))</f>
      </c>
      <c r="G49" s="39">
        <f>IF(A49="","",COUNTIFS(Transactions!$F$2:$F$1001,A49,Transactions!$C$2:$C$1001,"unfilled",Transactions!$D$2:$D$1001,"&gt;="&amp;(NOW()-30)))</f>
      </c>
      <c r="H49" s="36"/>
    </row>
    <row r="50">
      <c r="A50" s="31"/>
      <c r="B50" s="30"/>
      <c r="C50" s="35"/>
      <c r="D50" s="34"/>
      <c r="E50" s="39">
        <f>IF(A50="","",SUMIFS(Transactions!$H$2:$H$1001,Transactions!$F$2:$F$1001,A50,Transactions!$C$2:$C$1001,"issue",Transactions!$D$2:$D$1001,"&gt;="&amp;(NOW()-30)))</f>
      </c>
      <c r="F50" s="39">
        <f>IF(A50="","",COUNTIFS(Transactions!$F$2:$F$1001,A50,Transactions!$C$2:$C$1001,"loan",Transactions!$D$2:$D$1001,"&gt;="&amp;(NOW()-30)))</f>
      </c>
      <c r="G50" s="39">
        <f>IF(A50="","",COUNTIFS(Transactions!$F$2:$F$1001,A50,Transactions!$C$2:$C$1001,"unfilled",Transactions!$D$2:$D$1001,"&gt;="&amp;(NOW()-30)))</f>
      </c>
      <c r="H50" s="36"/>
    </row>
    <row r="51">
      <c r="A51" s="31"/>
      <c r="B51" s="30"/>
      <c r="C51" s="35"/>
      <c r="D51" s="34"/>
      <c r="E51" s="39">
        <f>IF(A51="","",SUMIFS(Transactions!$H$2:$H$1001,Transactions!$F$2:$F$1001,A51,Transactions!$C$2:$C$1001,"issue",Transactions!$D$2:$D$1001,"&gt;="&amp;(NOW()-30)))</f>
      </c>
      <c r="F51" s="39">
        <f>IF(A51="","",COUNTIFS(Transactions!$F$2:$F$1001,A51,Transactions!$C$2:$C$1001,"loan",Transactions!$D$2:$D$1001,"&gt;="&amp;(NOW()-30)))</f>
      </c>
      <c r="G51" s="39">
        <f>IF(A51="","",COUNTIFS(Transactions!$F$2:$F$1001,A51,Transactions!$C$2:$C$1001,"unfilled",Transactions!$D$2:$D$1001,"&gt;="&amp;(NOW()-30)))</f>
      </c>
      <c r="H51" s="36"/>
    </row>
    <row r="52">
      <c r="A52" s="31"/>
      <c r="B52" s="30"/>
      <c r="C52" s="35"/>
      <c r="D52" s="34"/>
      <c r="E52" s="39">
        <f>IF(A52="","",SUMIFS(Transactions!$H$2:$H$1001,Transactions!$F$2:$F$1001,A52,Transactions!$C$2:$C$1001,"issue",Transactions!$D$2:$D$1001,"&gt;="&amp;(NOW()-30)))</f>
      </c>
      <c r="F52" s="39">
        <f>IF(A52="","",COUNTIFS(Transactions!$F$2:$F$1001,A52,Transactions!$C$2:$C$1001,"loan",Transactions!$D$2:$D$1001,"&gt;="&amp;(NOW()-30)))</f>
      </c>
      <c r="G52" s="39">
        <f>IF(A52="","",COUNTIFS(Transactions!$F$2:$F$1001,A52,Transactions!$C$2:$C$1001,"unfilled",Transactions!$D$2:$D$1001,"&gt;="&amp;(NOW()-30)))</f>
      </c>
      <c r="H52" s="36"/>
    </row>
    <row r="53">
      <c r="A53" s="31"/>
      <c r="B53" s="30"/>
      <c r="C53" s="35"/>
      <c r="D53" s="34"/>
      <c r="E53" s="39">
        <f>IF(A53="","",SUMIFS(Transactions!$H$2:$H$1001,Transactions!$F$2:$F$1001,A53,Transactions!$C$2:$C$1001,"issue",Transactions!$D$2:$D$1001,"&gt;="&amp;(NOW()-30)))</f>
      </c>
      <c r="F53" s="39">
        <f>IF(A53="","",COUNTIFS(Transactions!$F$2:$F$1001,A53,Transactions!$C$2:$C$1001,"loan",Transactions!$D$2:$D$1001,"&gt;="&amp;(NOW()-30)))</f>
      </c>
      <c r="G53" s="39">
        <f>IF(A53="","",COUNTIFS(Transactions!$F$2:$F$1001,A53,Transactions!$C$2:$C$1001,"unfilled",Transactions!$D$2:$D$1001,"&gt;="&amp;(NOW()-30)))</f>
      </c>
      <c r="H53" s="36"/>
    </row>
    <row r="54">
      <c r="A54" s="31"/>
      <c r="B54" s="30"/>
      <c r="C54" s="35"/>
      <c r="D54" s="34"/>
      <c r="E54" s="39">
        <f>IF(A54="","",SUMIFS(Transactions!$H$2:$H$1001,Transactions!$F$2:$F$1001,A54,Transactions!$C$2:$C$1001,"issue",Transactions!$D$2:$D$1001,"&gt;="&amp;(NOW()-30)))</f>
      </c>
      <c r="F54" s="39">
        <f>IF(A54="","",COUNTIFS(Transactions!$F$2:$F$1001,A54,Transactions!$C$2:$C$1001,"loan",Transactions!$D$2:$D$1001,"&gt;="&amp;(NOW()-30)))</f>
      </c>
      <c r="G54" s="39">
        <f>IF(A54="","",COUNTIFS(Transactions!$F$2:$F$1001,A54,Transactions!$C$2:$C$1001,"unfilled",Transactions!$D$2:$D$1001,"&gt;="&amp;(NOW()-30)))</f>
      </c>
      <c r="H54" s="36"/>
    </row>
    <row r="55">
      <c r="A55" s="31"/>
      <c r="B55" s="30"/>
      <c r="C55" s="35"/>
      <c r="D55" s="34"/>
      <c r="E55" s="39">
        <f>IF(A55="","",SUMIFS(Transactions!$H$2:$H$1001,Transactions!$F$2:$F$1001,A55,Transactions!$C$2:$C$1001,"issue",Transactions!$D$2:$D$1001,"&gt;="&amp;(NOW()-30)))</f>
      </c>
      <c r="F55" s="39">
        <f>IF(A55="","",COUNTIFS(Transactions!$F$2:$F$1001,A55,Transactions!$C$2:$C$1001,"loan",Transactions!$D$2:$D$1001,"&gt;="&amp;(NOW()-30)))</f>
      </c>
      <c r="G55" s="39">
        <f>IF(A55="","",COUNTIFS(Transactions!$F$2:$F$1001,A55,Transactions!$C$2:$C$1001,"unfilled",Transactions!$D$2:$D$1001,"&gt;="&amp;(NOW()-30)))</f>
      </c>
      <c r="H55" s="36"/>
    </row>
    <row r="56">
      <c r="A56" s="31"/>
      <c r="B56" s="30"/>
      <c r="C56" s="35"/>
      <c r="D56" s="34"/>
      <c r="E56" s="39">
        <f>IF(A56="","",SUMIFS(Transactions!$H$2:$H$1001,Transactions!$F$2:$F$1001,A56,Transactions!$C$2:$C$1001,"issue",Transactions!$D$2:$D$1001,"&gt;="&amp;(NOW()-30)))</f>
      </c>
      <c r="F56" s="39">
        <f>IF(A56="","",COUNTIFS(Transactions!$F$2:$F$1001,A56,Transactions!$C$2:$C$1001,"loan",Transactions!$D$2:$D$1001,"&gt;="&amp;(NOW()-30)))</f>
      </c>
      <c r="G56" s="39">
        <f>IF(A56="","",COUNTIFS(Transactions!$F$2:$F$1001,A56,Transactions!$C$2:$C$1001,"unfilled",Transactions!$D$2:$D$1001,"&gt;="&amp;(NOW()-30)))</f>
      </c>
      <c r="H56" s="36"/>
    </row>
    <row r="57">
      <c r="A57" s="31"/>
      <c r="B57" s="30"/>
      <c r="C57" s="35"/>
      <c r="D57" s="34"/>
      <c r="E57" s="39">
        <f>IF(A57="","",SUMIFS(Transactions!$H$2:$H$1001,Transactions!$F$2:$F$1001,A57,Transactions!$C$2:$C$1001,"issue",Transactions!$D$2:$D$1001,"&gt;="&amp;(NOW()-30)))</f>
      </c>
      <c r="F57" s="39">
        <f>IF(A57="","",COUNTIFS(Transactions!$F$2:$F$1001,A57,Transactions!$C$2:$C$1001,"loan",Transactions!$D$2:$D$1001,"&gt;="&amp;(NOW()-30)))</f>
      </c>
      <c r="G57" s="39">
        <f>IF(A57="","",COUNTIFS(Transactions!$F$2:$F$1001,A57,Transactions!$C$2:$C$1001,"unfilled",Transactions!$D$2:$D$1001,"&gt;="&amp;(NOW()-30)))</f>
      </c>
      <c r="H57" s="36"/>
    </row>
    <row r="58">
      <c r="A58" s="31"/>
      <c r="B58" s="30"/>
      <c r="C58" s="35"/>
      <c r="D58" s="34"/>
      <c r="E58" s="39">
        <f>IF(A58="","",SUMIFS(Transactions!$H$2:$H$1001,Transactions!$F$2:$F$1001,A58,Transactions!$C$2:$C$1001,"issue",Transactions!$D$2:$D$1001,"&gt;="&amp;(NOW()-30)))</f>
      </c>
      <c r="F58" s="39">
        <f>IF(A58="","",COUNTIFS(Transactions!$F$2:$F$1001,A58,Transactions!$C$2:$C$1001,"loan",Transactions!$D$2:$D$1001,"&gt;="&amp;(NOW()-30)))</f>
      </c>
      <c r="G58" s="39">
        <f>IF(A58="","",COUNTIFS(Transactions!$F$2:$F$1001,A58,Transactions!$C$2:$C$1001,"unfilled",Transactions!$D$2:$D$1001,"&gt;="&amp;(NOW()-30)))</f>
      </c>
      <c r="H58" s="36"/>
    </row>
    <row r="59">
      <c r="A59" s="31"/>
      <c r="B59" s="30"/>
      <c r="C59" s="35"/>
      <c r="D59" s="34"/>
      <c r="E59" s="39">
        <f>IF(A59="","",SUMIFS(Transactions!$H$2:$H$1001,Transactions!$F$2:$F$1001,A59,Transactions!$C$2:$C$1001,"issue",Transactions!$D$2:$D$1001,"&gt;="&amp;(NOW()-30)))</f>
      </c>
      <c r="F59" s="39">
        <f>IF(A59="","",COUNTIFS(Transactions!$F$2:$F$1001,A59,Transactions!$C$2:$C$1001,"loan",Transactions!$D$2:$D$1001,"&gt;="&amp;(NOW()-30)))</f>
      </c>
      <c r="G59" s="39">
        <f>IF(A59="","",COUNTIFS(Transactions!$F$2:$F$1001,A59,Transactions!$C$2:$C$1001,"unfilled",Transactions!$D$2:$D$1001,"&gt;="&amp;(NOW()-30)))</f>
      </c>
      <c r="H59" s="36"/>
    </row>
    <row r="60">
      <c r="A60" s="31"/>
      <c r="B60" s="30"/>
      <c r="C60" s="35"/>
      <c r="D60" s="34"/>
      <c r="E60" s="39">
        <f>IF(A60="","",SUMIFS(Transactions!$H$2:$H$1001,Transactions!$F$2:$F$1001,A60,Transactions!$C$2:$C$1001,"issue",Transactions!$D$2:$D$1001,"&gt;="&amp;(NOW()-30)))</f>
      </c>
      <c r="F60" s="39">
        <f>IF(A60="","",COUNTIFS(Transactions!$F$2:$F$1001,A60,Transactions!$C$2:$C$1001,"loan",Transactions!$D$2:$D$1001,"&gt;="&amp;(NOW()-30)))</f>
      </c>
      <c r="G60" s="39">
        <f>IF(A60="","",COUNTIFS(Transactions!$F$2:$F$1001,A60,Transactions!$C$2:$C$1001,"unfilled",Transactions!$D$2:$D$1001,"&gt;="&amp;(NOW()-30)))</f>
      </c>
      <c r="H60" s="36"/>
    </row>
    <row r="61">
      <c r="A61" s="31"/>
      <c r="B61" s="30"/>
      <c r="C61" s="35"/>
      <c r="D61" s="34"/>
      <c r="E61" s="39">
        <f>IF(A61="","",SUMIFS(Transactions!$H$2:$H$1001,Transactions!$F$2:$F$1001,A61,Transactions!$C$2:$C$1001,"issue",Transactions!$D$2:$D$1001,"&gt;="&amp;(NOW()-30)))</f>
      </c>
      <c r="F61" s="39">
        <f>IF(A61="","",COUNTIFS(Transactions!$F$2:$F$1001,A61,Transactions!$C$2:$C$1001,"loan",Transactions!$D$2:$D$1001,"&gt;="&amp;(NOW()-30)))</f>
      </c>
      <c r="G61" s="39">
        <f>IF(A61="","",COUNTIFS(Transactions!$F$2:$F$1001,A61,Transactions!$C$2:$C$1001,"unfilled",Transactions!$D$2:$D$1001,"&gt;="&amp;(NOW()-30)))</f>
      </c>
      <c r="H61" s="36"/>
    </row>
    <row r="62">
      <c r="A62" s="31"/>
      <c r="B62" s="30"/>
      <c r="C62" s="35"/>
      <c r="D62" s="34"/>
      <c r="E62" s="39">
        <f>IF(A62="","",SUMIFS(Transactions!$H$2:$H$1001,Transactions!$F$2:$F$1001,A62,Transactions!$C$2:$C$1001,"issue",Transactions!$D$2:$D$1001,"&gt;="&amp;(NOW()-30)))</f>
      </c>
      <c r="F62" s="39">
        <f>IF(A62="","",COUNTIFS(Transactions!$F$2:$F$1001,A62,Transactions!$C$2:$C$1001,"loan",Transactions!$D$2:$D$1001,"&gt;="&amp;(NOW()-30)))</f>
      </c>
      <c r="G62" s="39">
        <f>IF(A62="","",COUNTIFS(Transactions!$F$2:$F$1001,A62,Transactions!$C$2:$C$1001,"unfilled",Transactions!$D$2:$D$1001,"&gt;="&amp;(NOW()-30)))</f>
      </c>
      <c r="H62" s="36"/>
    </row>
    <row r="63">
      <c r="A63" s="31"/>
      <c r="B63" s="30"/>
      <c r="C63" s="35"/>
      <c r="D63" s="34"/>
      <c r="E63" s="39">
        <f>IF(A63="","",SUMIFS(Transactions!$H$2:$H$1001,Transactions!$F$2:$F$1001,A63,Transactions!$C$2:$C$1001,"issue",Transactions!$D$2:$D$1001,"&gt;="&amp;(NOW()-30)))</f>
      </c>
      <c r="F63" s="39">
        <f>IF(A63="","",COUNTIFS(Transactions!$F$2:$F$1001,A63,Transactions!$C$2:$C$1001,"loan",Transactions!$D$2:$D$1001,"&gt;="&amp;(NOW()-30)))</f>
      </c>
      <c r="G63" s="39">
        <f>IF(A63="","",COUNTIFS(Transactions!$F$2:$F$1001,A63,Transactions!$C$2:$C$1001,"unfilled",Transactions!$D$2:$D$1001,"&gt;="&amp;(NOW()-30)))</f>
      </c>
      <c r="H63" s="36"/>
    </row>
    <row r="64">
      <c r="A64" s="31"/>
      <c r="B64" s="30"/>
      <c r="C64" s="35"/>
      <c r="D64" s="34"/>
      <c r="E64" s="39">
        <f>IF(A64="","",SUMIFS(Transactions!$H$2:$H$1001,Transactions!$F$2:$F$1001,A64,Transactions!$C$2:$C$1001,"issue",Transactions!$D$2:$D$1001,"&gt;="&amp;(NOW()-30)))</f>
      </c>
      <c r="F64" s="39">
        <f>IF(A64="","",COUNTIFS(Transactions!$F$2:$F$1001,A64,Transactions!$C$2:$C$1001,"loan",Transactions!$D$2:$D$1001,"&gt;="&amp;(NOW()-30)))</f>
      </c>
      <c r="G64" s="39">
        <f>IF(A64="","",COUNTIFS(Transactions!$F$2:$F$1001,A64,Transactions!$C$2:$C$1001,"unfilled",Transactions!$D$2:$D$1001,"&gt;="&amp;(NOW()-30)))</f>
      </c>
      <c r="H64" s="36"/>
    </row>
    <row r="65">
      <c r="A65" s="31"/>
      <c r="B65" s="30"/>
      <c r="C65" s="35"/>
      <c r="D65" s="34"/>
      <c r="E65" s="39">
        <f>IF(A65="","",SUMIFS(Transactions!$H$2:$H$1001,Transactions!$F$2:$F$1001,A65,Transactions!$C$2:$C$1001,"issue",Transactions!$D$2:$D$1001,"&gt;="&amp;(NOW()-30)))</f>
      </c>
      <c r="F65" s="39">
        <f>IF(A65="","",COUNTIFS(Transactions!$F$2:$F$1001,A65,Transactions!$C$2:$C$1001,"loan",Transactions!$D$2:$D$1001,"&gt;="&amp;(NOW()-30)))</f>
      </c>
      <c r="G65" s="39">
        <f>IF(A65="","",COUNTIFS(Transactions!$F$2:$F$1001,A65,Transactions!$C$2:$C$1001,"unfilled",Transactions!$D$2:$D$1001,"&gt;="&amp;(NOW()-30)))</f>
      </c>
      <c r="H65" s="36"/>
    </row>
    <row r="66">
      <c r="A66" s="31"/>
      <c r="B66" s="30"/>
      <c r="C66" s="35"/>
      <c r="D66" s="34"/>
      <c r="E66" s="39">
        <f>IF(A66="","",SUMIFS(Transactions!$H$2:$H$1001,Transactions!$F$2:$F$1001,A66,Transactions!$C$2:$C$1001,"issue",Transactions!$D$2:$D$1001,"&gt;="&amp;(NOW()-30)))</f>
      </c>
      <c r="F66" s="39">
        <f>IF(A66="","",COUNTIFS(Transactions!$F$2:$F$1001,A66,Transactions!$C$2:$C$1001,"loan",Transactions!$D$2:$D$1001,"&gt;="&amp;(NOW()-30)))</f>
      </c>
      <c r="G66" s="39">
        <f>IF(A66="","",COUNTIFS(Transactions!$F$2:$F$1001,A66,Transactions!$C$2:$C$1001,"unfilled",Transactions!$D$2:$D$1001,"&gt;="&amp;(NOW()-30)))</f>
      </c>
      <c r="H66" s="36"/>
    </row>
    <row r="67">
      <c r="A67" s="31"/>
      <c r="B67" s="30"/>
      <c r="C67" s="35"/>
      <c r="D67" s="34"/>
      <c r="E67" s="39">
        <f>IF(A67="","",SUMIFS(Transactions!$H$2:$H$1001,Transactions!$F$2:$F$1001,A67,Transactions!$C$2:$C$1001,"issue",Transactions!$D$2:$D$1001,"&gt;="&amp;(NOW()-30)))</f>
      </c>
      <c r="F67" s="39">
        <f>IF(A67="","",COUNTIFS(Transactions!$F$2:$F$1001,A67,Transactions!$C$2:$C$1001,"loan",Transactions!$D$2:$D$1001,"&gt;="&amp;(NOW()-30)))</f>
      </c>
      <c r="G67" s="39">
        <f>IF(A67="","",COUNTIFS(Transactions!$F$2:$F$1001,A67,Transactions!$C$2:$C$1001,"unfilled",Transactions!$D$2:$D$1001,"&gt;="&amp;(NOW()-30)))</f>
      </c>
      <c r="H67" s="36"/>
    </row>
    <row r="68">
      <c r="A68" s="31"/>
      <c r="B68" s="30"/>
      <c r="C68" s="35"/>
      <c r="D68" s="34"/>
      <c r="E68" s="39">
        <f>IF(A68="","",SUMIFS(Transactions!$H$2:$H$1001,Transactions!$F$2:$F$1001,A68,Transactions!$C$2:$C$1001,"issue",Transactions!$D$2:$D$1001,"&gt;="&amp;(NOW()-30)))</f>
      </c>
      <c r="F68" s="39">
        <f>IF(A68="","",COUNTIFS(Transactions!$F$2:$F$1001,A68,Transactions!$C$2:$C$1001,"loan",Transactions!$D$2:$D$1001,"&gt;="&amp;(NOW()-30)))</f>
      </c>
      <c r="G68" s="39">
        <f>IF(A68="","",COUNTIFS(Transactions!$F$2:$F$1001,A68,Transactions!$C$2:$C$1001,"unfilled",Transactions!$D$2:$D$1001,"&gt;="&amp;(NOW()-30)))</f>
      </c>
      <c r="H68" s="36"/>
    </row>
    <row r="69">
      <c r="A69" s="31"/>
      <c r="B69" s="30"/>
      <c r="C69" s="35"/>
      <c r="D69" s="34"/>
      <c r="E69" s="39">
        <f>IF(A69="","",SUMIFS(Transactions!$H$2:$H$1001,Transactions!$F$2:$F$1001,A69,Transactions!$C$2:$C$1001,"issue",Transactions!$D$2:$D$1001,"&gt;="&amp;(NOW()-30)))</f>
      </c>
      <c r="F69" s="39">
        <f>IF(A69="","",COUNTIFS(Transactions!$F$2:$F$1001,A69,Transactions!$C$2:$C$1001,"loan",Transactions!$D$2:$D$1001,"&gt;="&amp;(NOW()-30)))</f>
      </c>
      <c r="G69" s="39">
        <f>IF(A69="","",COUNTIFS(Transactions!$F$2:$F$1001,A69,Transactions!$C$2:$C$1001,"unfilled",Transactions!$D$2:$D$1001,"&gt;="&amp;(NOW()-30)))</f>
      </c>
      <c r="H69" s="36"/>
    </row>
    <row r="70">
      <c r="A70" s="31"/>
      <c r="B70" s="30"/>
      <c r="C70" s="35"/>
      <c r="D70" s="34"/>
      <c r="E70" s="39">
        <f>IF(A70="","",SUMIFS(Transactions!$H$2:$H$1001,Transactions!$F$2:$F$1001,A70,Transactions!$C$2:$C$1001,"issue",Transactions!$D$2:$D$1001,"&gt;="&amp;(NOW()-30)))</f>
      </c>
      <c r="F70" s="39">
        <f>IF(A70="","",COUNTIFS(Transactions!$F$2:$F$1001,A70,Transactions!$C$2:$C$1001,"loan",Transactions!$D$2:$D$1001,"&gt;="&amp;(NOW()-30)))</f>
      </c>
      <c r="G70" s="39">
        <f>IF(A70="","",COUNTIFS(Transactions!$F$2:$F$1001,A70,Transactions!$C$2:$C$1001,"unfilled",Transactions!$D$2:$D$1001,"&gt;="&amp;(NOW()-30)))</f>
      </c>
      <c r="H70" s="36"/>
    </row>
    <row r="71">
      <c r="A71" s="31"/>
      <c r="B71" s="30"/>
      <c r="C71" s="35"/>
      <c r="D71" s="34"/>
      <c r="E71" s="39">
        <f>IF(A71="","",SUMIFS(Transactions!$H$2:$H$1001,Transactions!$F$2:$F$1001,A71,Transactions!$C$2:$C$1001,"issue",Transactions!$D$2:$D$1001,"&gt;="&amp;(NOW()-30)))</f>
      </c>
      <c r="F71" s="39">
        <f>IF(A71="","",COUNTIFS(Transactions!$F$2:$F$1001,A71,Transactions!$C$2:$C$1001,"loan",Transactions!$D$2:$D$1001,"&gt;="&amp;(NOW()-30)))</f>
      </c>
      <c r="G71" s="39">
        <f>IF(A71="","",COUNTIFS(Transactions!$F$2:$F$1001,A71,Transactions!$C$2:$C$1001,"unfilled",Transactions!$D$2:$D$1001,"&gt;="&amp;(NOW()-30)))</f>
      </c>
      <c r="H71" s="36"/>
    </row>
    <row r="72">
      <c r="A72" s="31"/>
      <c r="B72" s="30"/>
      <c r="C72" s="35"/>
      <c r="D72" s="34"/>
      <c r="E72" s="39">
        <f>IF(A72="","",SUMIFS(Transactions!$H$2:$H$1001,Transactions!$F$2:$F$1001,A72,Transactions!$C$2:$C$1001,"issue",Transactions!$D$2:$D$1001,"&gt;="&amp;(NOW()-30)))</f>
      </c>
      <c r="F72" s="39">
        <f>IF(A72="","",COUNTIFS(Transactions!$F$2:$F$1001,A72,Transactions!$C$2:$C$1001,"loan",Transactions!$D$2:$D$1001,"&gt;="&amp;(NOW()-30)))</f>
      </c>
      <c r="G72" s="39">
        <f>IF(A72="","",COUNTIFS(Transactions!$F$2:$F$1001,A72,Transactions!$C$2:$C$1001,"unfilled",Transactions!$D$2:$D$1001,"&gt;="&amp;(NOW()-30)))</f>
      </c>
      <c r="H72" s="36"/>
    </row>
    <row r="73">
      <c r="A73" s="31"/>
      <c r="B73" s="30"/>
      <c r="C73" s="35"/>
      <c r="D73" s="34"/>
      <c r="E73" s="39">
        <f>IF(A73="","",SUMIFS(Transactions!$H$2:$H$1001,Transactions!$F$2:$F$1001,A73,Transactions!$C$2:$C$1001,"issue",Transactions!$D$2:$D$1001,"&gt;="&amp;(NOW()-30)))</f>
      </c>
      <c r="F73" s="39">
        <f>IF(A73="","",COUNTIFS(Transactions!$F$2:$F$1001,A73,Transactions!$C$2:$C$1001,"loan",Transactions!$D$2:$D$1001,"&gt;="&amp;(NOW()-30)))</f>
      </c>
      <c r="G73" s="39">
        <f>IF(A73="","",COUNTIFS(Transactions!$F$2:$F$1001,A73,Transactions!$C$2:$C$1001,"unfilled",Transactions!$D$2:$D$1001,"&gt;="&amp;(NOW()-30)))</f>
      </c>
      <c r="H73" s="36"/>
    </row>
    <row r="74">
      <c r="A74" s="31"/>
      <c r="B74" s="30"/>
      <c r="C74" s="35"/>
      <c r="D74" s="34"/>
      <c r="E74" s="39">
        <f>IF(A74="","",SUMIFS(Transactions!$H$2:$H$1001,Transactions!$F$2:$F$1001,A74,Transactions!$C$2:$C$1001,"issue",Transactions!$D$2:$D$1001,"&gt;="&amp;(NOW()-30)))</f>
      </c>
      <c r="F74" s="39">
        <f>IF(A74="","",COUNTIFS(Transactions!$F$2:$F$1001,A74,Transactions!$C$2:$C$1001,"loan",Transactions!$D$2:$D$1001,"&gt;="&amp;(NOW()-30)))</f>
      </c>
      <c r="G74" s="39">
        <f>IF(A74="","",COUNTIFS(Transactions!$F$2:$F$1001,A74,Transactions!$C$2:$C$1001,"unfilled",Transactions!$D$2:$D$1001,"&gt;="&amp;(NOW()-30)))</f>
      </c>
      <c r="H74" s="36"/>
    </row>
    <row r="75">
      <c r="A75" s="31"/>
      <c r="B75" s="30"/>
      <c r="C75" s="35"/>
      <c r="D75" s="34"/>
      <c r="E75" s="39">
        <f>IF(A75="","",SUMIFS(Transactions!$H$2:$H$1001,Transactions!$F$2:$F$1001,A75,Transactions!$C$2:$C$1001,"issue",Transactions!$D$2:$D$1001,"&gt;="&amp;(NOW()-30)))</f>
      </c>
      <c r="F75" s="39">
        <f>IF(A75="","",COUNTIFS(Transactions!$F$2:$F$1001,A75,Transactions!$C$2:$C$1001,"loan",Transactions!$D$2:$D$1001,"&gt;="&amp;(NOW()-30)))</f>
      </c>
      <c r="G75" s="39">
        <f>IF(A75="","",COUNTIFS(Transactions!$F$2:$F$1001,A75,Transactions!$C$2:$C$1001,"unfilled",Transactions!$D$2:$D$1001,"&gt;="&amp;(NOW()-30)))</f>
      </c>
      <c r="H75" s="36"/>
    </row>
    <row r="76">
      <c r="A76" s="31"/>
      <c r="B76" s="30"/>
      <c r="C76" s="35"/>
      <c r="D76" s="34"/>
      <c r="E76" s="39">
        <f>IF(A76="","",SUMIFS(Transactions!$H$2:$H$1001,Transactions!$F$2:$F$1001,A76,Transactions!$C$2:$C$1001,"issue",Transactions!$D$2:$D$1001,"&gt;="&amp;(NOW()-30)))</f>
      </c>
      <c r="F76" s="39">
        <f>IF(A76="","",COUNTIFS(Transactions!$F$2:$F$1001,A76,Transactions!$C$2:$C$1001,"loan",Transactions!$D$2:$D$1001,"&gt;="&amp;(NOW()-30)))</f>
      </c>
      <c r="G76" s="39">
        <f>IF(A76="","",COUNTIFS(Transactions!$F$2:$F$1001,A76,Transactions!$C$2:$C$1001,"unfilled",Transactions!$D$2:$D$1001,"&gt;="&amp;(NOW()-30)))</f>
      </c>
      <c r="H76" s="36"/>
    </row>
    <row r="77">
      <c r="A77" s="31"/>
      <c r="B77" s="30"/>
      <c r="C77" s="35"/>
      <c r="D77" s="34"/>
      <c r="E77" s="39">
        <f>IF(A77="","",SUMIFS(Transactions!$H$2:$H$1001,Transactions!$F$2:$F$1001,A77,Transactions!$C$2:$C$1001,"issue",Transactions!$D$2:$D$1001,"&gt;="&amp;(NOW()-30)))</f>
      </c>
      <c r="F77" s="39">
        <f>IF(A77="","",COUNTIFS(Transactions!$F$2:$F$1001,A77,Transactions!$C$2:$C$1001,"loan",Transactions!$D$2:$D$1001,"&gt;="&amp;(NOW()-30)))</f>
      </c>
      <c r="G77" s="39">
        <f>IF(A77="","",COUNTIFS(Transactions!$F$2:$F$1001,A77,Transactions!$C$2:$C$1001,"unfilled",Transactions!$D$2:$D$1001,"&gt;="&amp;(NOW()-30)))</f>
      </c>
      <c r="H77" s="36"/>
    </row>
    <row r="78">
      <c r="A78" s="31"/>
      <c r="B78" s="30"/>
      <c r="C78" s="35"/>
      <c r="D78" s="34"/>
      <c r="E78" s="39">
        <f>IF(A78="","",SUMIFS(Transactions!$H$2:$H$1001,Transactions!$F$2:$F$1001,A78,Transactions!$C$2:$C$1001,"issue",Transactions!$D$2:$D$1001,"&gt;="&amp;(NOW()-30)))</f>
      </c>
      <c r="F78" s="39">
        <f>IF(A78="","",COUNTIFS(Transactions!$F$2:$F$1001,A78,Transactions!$C$2:$C$1001,"loan",Transactions!$D$2:$D$1001,"&gt;="&amp;(NOW()-30)))</f>
      </c>
      <c r="G78" s="39">
        <f>IF(A78="","",COUNTIFS(Transactions!$F$2:$F$1001,A78,Transactions!$C$2:$C$1001,"unfilled",Transactions!$D$2:$D$1001,"&gt;="&amp;(NOW()-30)))</f>
      </c>
      <c r="H78" s="36"/>
    </row>
    <row r="79">
      <c r="A79" s="31"/>
      <c r="B79" s="30"/>
      <c r="C79" s="35"/>
      <c r="D79" s="34"/>
      <c r="E79" s="39">
        <f>IF(A79="","",SUMIFS(Transactions!$H$2:$H$1001,Transactions!$F$2:$F$1001,A79,Transactions!$C$2:$C$1001,"issue",Transactions!$D$2:$D$1001,"&gt;="&amp;(NOW()-30)))</f>
      </c>
      <c r="F79" s="39">
        <f>IF(A79="","",COUNTIFS(Transactions!$F$2:$F$1001,A79,Transactions!$C$2:$C$1001,"loan",Transactions!$D$2:$D$1001,"&gt;="&amp;(NOW()-30)))</f>
      </c>
      <c r="G79" s="39">
        <f>IF(A79="","",COUNTIFS(Transactions!$F$2:$F$1001,A79,Transactions!$C$2:$C$1001,"unfilled",Transactions!$D$2:$D$1001,"&gt;="&amp;(NOW()-30)))</f>
      </c>
      <c r="H79" s="36"/>
    </row>
    <row r="80">
      <c r="A80" s="31"/>
      <c r="B80" s="30"/>
      <c r="C80" s="35"/>
      <c r="D80" s="34"/>
      <c r="E80" s="39">
        <f>IF(A80="","",SUMIFS(Transactions!$H$2:$H$1001,Transactions!$F$2:$F$1001,A80,Transactions!$C$2:$C$1001,"issue",Transactions!$D$2:$D$1001,"&gt;="&amp;(NOW()-30)))</f>
      </c>
      <c r="F80" s="39">
        <f>IF(A80="","",COUNTIFS(Transactions!$F$2:$F$1001,A80,Transactions!$C$2:$C$1001,"loan",Transactions!$D$2:$D$1001,"&gt;="&amp;(NOW()-30)))</f>
      </c>
      <c r="G80" s="39">
        <f>IF(A80="","",COUNTIFS(Transactions!$F$2:$F$1001,A80,Transactions!$C$2:$C$1001,"unfilled",Transactions!$D$2:$D$1001,"&gt;="&amp;(NOW()-30)))</f>
      </c>
      <c r="H80" s="36"/>
    </row>
    <row r="81">
      <c r="A81" s="31"/>
      <c r="B81" s="30"/>
      <c r="C81" s="35"/>
      <c r="D81" s="34"/>
      <c r="E81" s="39">
        <f>IF(A81="","",SUMIFS(Transactions!$H$2:$H$1001,Transactions!$F$2:$F$1001,A81,Transactions!$C$2:$C$1001,"issue",Transactions!$D$2:$D$1001,"&gt;="&amp;(NOW()-30)))</f>
      </c>
      <c r="F81" s="39">
        <f>IF(A81="","",COUNTIFS(Transactions!$F$2:$F$1001,A81,Transactions!$C$2:$C$1001,"loan",Transactions!$D$2:$D$1001,"&gt;="&amp;(NOW()-30)))</f>
      </c>
      <c r="G81" s="39">
        <f>IF(A81="","",COUNTIFS(Transactions!$F$2:$F$1001,A81,Transactions!$C$2:$C$1001,"unfilled",Transactions!$D$2:$D$1001,"&gt;="&amp;(NOW()-30)))</f>
      </c>
      <c r="H81" s="36"/>
    </row>
    <row r="82">
      <c r="A82" s="31"/>
      <c r="B82" s="30"/>
      <c r="C82" s="35"/>
      <c r="D82" s="34"/>
      <c r="E82" s="39">
        <f>IF(A82="","",SUMIFS(Transactions!$H$2:$H$1001,Transactions!$F$2:$F$1001,A82,Transactions!$C$2:$C$1001,"issue",Transactions!$D$2:$D$1001,"&gt;="&amp;(NOW()-30)))</f>
      </c>
      <c r="F82" s="39">
        <f>IF(A82="","",COUNTIFS(Transactions!$F$2:$F$1001,A82,Transactions!$C$2:$C$1001,"loan",Transactions!$D$2:$D$1001,"&gt;="&amp;(NOW()-30)))</f>
      </c>
      <c r="G82" s="39">
        <f>IF(A82="","",COUNTIFS(Transactions!$F$2:$F$1001,A82,Transactions!$C$2:$C$1001,"unfilled",Transactions!$D$2:$D$1001,"&gt;="&amp;(NOW()-30)))</f>
      </c>
      <c r="H82" s="36"/>
    </row>
    <row r="83">
      <c r="A83" s="31"/>
      <c r="B83" s="30"/>
      <c r="C83" s="35"/>
      <c r="D83" s="34"/>
      <c r="E83" s="39">
        <f>IF(A83="","",SUMIFS(Transactions!$H$2:$H$1001,Transactions!$F$2:$F$1001,A83,Transactions!$C$2:$C$1001,"issue",Transactions!$D$2:$D$1001,"&gt;="&amp;(NOW()-30)))</f>
      </c>
      <c r="F83" s="39">
        <f>IF(A83="","",COUNTIFS(Transactions!$F$2:$F$1001,A83,Transactions!$C$2:$C$1001,"loan",Transactions!$D$2:$D$1001,"&gt;="&amp;(NOW()-30)))</f>
      </c>
      <c r="G83" s="39">
        <f>IF(A83="","",COUNTIFS(Transactions!$F$2:$F$1001,A83,Transactions!$C$2:$C$1001,"unfilled",Transactions!$D$2:$D$1001,"&gt;="&amp;(NOW()-30)))</f>
      </c>
      <c r="H83" s="36"/>
    </row>
    <row r="84">
      <c r="A84" s="31"/>
      <c r="B84" s="30"/>
      <c r="C84" s="35"/>
      <c r="D84" s="34"/>
      <c r="E84" s="39">
        <f>IF(A84="","",SUMIFS(Transactions!$H$2:$H$1001,Transactions!$F$2:$F$1001,A84,Transactions!$C$2:$C$1001,"issue",Transactions!$D$2:$D$1001,"&gt;="&amp;(NOW()-30)))</f>
      </c>
      <c r="F84" s="39">
        <f>IF(A84="","",COUNTIFS(Transactions!$F$2:$F$1001,A84,Transactions!$C$2:$C$1001,"loan",Transactions!$D$2:$D$1001,"&gt;="&amp;(NOW()-30)))</f>
      </c>
      <c r="G84" s="39">
        <f>IF(A84="","",COUNTIFS(Transactions!$F$2:$F$1001,A84,Transactions!$C$2:$C$1001,"unfilled",Transactions!$D$2:$D$1001,"&gt;="&amp;(NOW()-30)))</f>
      </c>
      <c r="H84" s="36"/>
    </row>
    <row r="85">
      <c r="A85" s="31"/>
      <c r="B85" s="30"/>
      <c r="C85" s="35"/>
      <c r="D85" s="34"/>
      <c r="E85" s="39">
        <f>IF(A85="","",SUMIFS(Transactions!$H$2:$H$1001,Transactions!$F$2:$F$1001,A85,Transactions!$C$2:$C$1001,"issue",Transactions!$D$2:$D$1001,"&gt;="&amp;(NOW()-30)))</f>
      </c>
      <c r="F85" s="39">
        <f>IF(A85="","",COUNTIFS(Transactions!$F$2:$F$1001,A85,Transactions!$C$2:$C$1001,"loan",Transactions!$D$2:$D$1001,"&gt;="&amp;(NOW()-30)))</f>
      </c>
      <c r="G85" s="39">
        <f>IF(A85="","",COUNTIFS(Transactions!$F$2:$F$1001,A85,Transactions!$C$2:$C$1001,"unfilled",Transactions!$D$2:$D$1001,"&gt;="&amp;(NOW()-30)))</f>
      </c>
      <c r="H85" s="36"/>
    </row>
    <row r="86">
      <c r="A86" s="31"/>
      <c r="B86" s="30"/>
      <c r="C86" s="35"/>
      <c r="D86" s="34"/>
      <c r="E86" s="39">
        <f>IF(A86="","",SUMIFS(Transactions!$H$2:$H$1001,Transactions!$F$2:$F$1001,A86,Transactions!$C$2:$C$1001,"issue",Transactions!$D$2:$D$1001,"&gt;="&amp;(NOW()-30)))</f>
      </c>
      <c r="F86" s="39">
        <f>IF(A86="","",COUNTIFS(Transactions!$F$2:$F$1001,A86,Transactions!$C$2:$C$1001,"loan",Transactions!$D$2:$D$1001,"&gt;="&amp;(NOW()-30)))</f>
      </c>
      <c r="G86" s="39">
        <f>IF(A86="","",COUNTIFS(Transactions!$F$2:$F$1001,A86,Transactions!$C$2:$C$1001,"unfilled",Transactions!$D$2:$D$1001,"&gt;="&amp;(NOW()-30)))</f>
      </c>
      <c r="H86" s="36"/>
    </row>
    <row r="87">
      <c r="A87" s="31"/>
      <c r="B87" s="30"/>
      <c r="C87" s="35"/>
      <c r="D87" s="34"/>
      <c r="E87" s="39">
        <f>IF(A87="","",SUMIFS(Transactions!$H$2:$H$1001,Transactions!$F$2:$F$1001,A87,Transactions!$C$2:$C$1001,"issue",Transactions!$D$2:$D$1001,"&gt;="&amp;(NOW()-30)))</f>
      </c>
      <c r="F87" s="39">
        <f>IF(A87="","",COUNTIFS(Transactions!$F$2:$F$1001,A87,Transactions!$C$2:$C$1001,"loan",Transactions!$D$2:$D$1001,"&gt;="&amp;(NOW()-30)))</f>
      </c>
      <c r="G87" s="39">
        <f>IF(A87="","",COUNTIFS(Transactions!$F$2:$F$1001,A87,Transactions!$C$2:$C$1001,"unfilled",Transactions!$D$2:$D$1001,"&gt;="&amp;(NOW()-30)))</f>
      </c>
      <c r="H87" s="36"/>
    </row>
    <row r="88">
      <c r="A88" s="31"/>
      <c r="B88" s="30"/>
      <c r="C88" s="35"/>
      <c r="D88" s="34"/>
      <c r="E88" s="39">
        <f>IF(A88="","",SUMIFS(Transactions!$H$2:$H$1001,Transactions!$F$2:$F$1001,A88,Transactions!$C$2:$C$1001,"issue",Transactions!$D$2:$D$1001,"&gt;="&amp;(NOW()-30)))</f>
      </c>
      <c r="F88" s="39">
        <f>IF(A88="","",COUNTIFS(Transactions!$F$2:$F$1001,A88,Transactions!$C$2:$C$1001,"loan",Transactions!$D$2:$D$1001,"&gt;="&amp;(NOW()-30)))</f>
      </c>
      <c r="G88" s="39">
        <f>IF(A88="","",COUNTIFS(Transactions!$F$2:$F$1001,A88,Transactions!$C$2:$C$1001,"unfilled",Transactions!$D$2:$D$1001,"&gt;="&amp;(NOW()-30)))</f>
      </c>
      <c r="H88" s="36"/>
    </row>
    <row r="89">
      <c r="A89" s="31"/>
      <c r="B89" s="30"/>
      <c r="C89" s="35"/>
      <c r="D89" s="34"/>
      <c r="E89" s="39">
        <f>IF(A89="","",SUMIFS(Transactions!$H$2:$H$1001,Transactions!$F$2:$F$1001,A89,Transactions!$C$2:$C$1001,"issue",Transactions!$D$2:$D$1001,"&gt;="&amp;(NOW()-30)))</f>
      </c>
      <c r="F89" s="39">
        <f>IF(A89="","",COUNTIFS(Transactions!$F$2:$F$1001,A89,Transactions!$C$2:$C$1001,"loan",Transactions!$D$2:$D$1001,"&gt;="&amp;(NOW()-30)))</f>
      </c>
      <c r="G89" s="39">
        <f>IF(A89="","",COUNTIFS(Transactions!$F$2:$F$1001,A89,Transactions!$C$2:$C$1001,"unfilled",Transactions!$D$2:$D$1001,"&gt;="&amp;(NOW()-30)))</f>
      </c>
      <c r="H89" s="36"/>
    </row>
    <row r="90">
      <c r="A90" s="31"/>
      <c r="B90" s="30"/>
      <c r="C90" s="35"/>
      <c r="D90" s="34"/>
      <c r="E90" s="39">
        <f>IF(A90="","",SUMIFS(Transactions!$H$2:$H$1001,Transactions!$F$2:$F$1001,A90,Transactions!$C$2:$C$1001,"issue",Transactions!$D$2:$D$1001,"&gt;="&amp;(NOW()-30)))</f>
      </c>
      <c r="F90" s="39">
        <f>IF(A90="","",COUNTIFS(Transactions!$F$2:$F$1001,A90,Transactions!$C$2:$C$1001,"loan",Transactions!$D$2:$D$1001,"&gt;="&amp;(NOW()-30)))</f>
      </c>
      <c r="G90" s="39">
        <f>IF(A90="","",COUNTIFS(Transactions!$F$2:$F$1001,A90,Transactions!$C$2:$C$1001,"unfilled",Transactions!$D$2:$D$1001,"&gt;="&amp;(NOW()-30)))</f>
      </c>
      <c r="H90" s="36"/>
    </row>
    <row r="91">
      <c r="A91" s="31"/>
      <c r="B91" s="30"/>
      <c r="C91" s="35"/>
      <c r="D91" s="34"/>
      <c r="E91" s="39">
        <f>IF(A91="","",SUMIFS(Transactions!$H$2:$H$1001,Transactions!$F$2:$F$1001,A91,Transactions!$C$2:$C$1001,"issue",Transactions!$D$2:$D$1001,"&gt;="&amp;(NOW()-30)))</f>
      </c>
      <c r="F91" s="39">
        <f>IF(A91="","",COUNTIFS(Transactions!$F$2:$F$1001,A91,Transactions!$C$2:$C$1001,"loan",Transactions!$D$2:$D$1001,"&gt;="&amp;(NOW()-30)))</f>
      </c>
      <c r="G91" s="39">
        <f>IF(A91="","",COUNTIFS(Transactions!$F$2:$F$1001,A91,Transactions!$C$2:$C$1001,"unfilled",Transactions!$D$2:$D$1001,"&gt;="&amp;(NOW()-30)))</f>
      </c>
      <c r="H91" s="36"/>
    </row>
    <row r="92">
      <c r="A92" s="31"/>
      <c r="B92" s="30"/>
      <c r="C92" s="35"/>
      <c r="D92" s="34"/>
      <c r="E92" s="39">
        <f>IF(A92="","",SUMIFS(Transactions!$H$2:$H$1001,Transactions!$F$2:$F$1001,A92,Transactions!$C$2:$C$1001,"issue",Transactions!$D$2:$D$1001,"&gt;="&amp;(NOW()-30)))</f>
      </c>
      <c r="F92" s="39">
        <f>IF(A92="","",COUNTIFS(Transactions!$F$2:$F$1001,A92,Transactions!$C$2:$C$1001,"loan",Transactions!$D$2:$D$1001,"&gt;="&amp;(NOW()-30)))</f>
      </c>
      <c r="G92" s="39">
        <f>IF(A92="","",COUNTIFS(Transactions!$F$2:$F$1001,A92,Transactions!$C$2:$C$1001,"unfilled",Transactions!$D$2:$D$1001,"&gt;="&amp;(NOW()-30)))</f>
      </c>
      <c r="H92" s="36"/>
    </row>
    <row r="93">
      <c r="A93" s="31"/>
      <c r="B93" s="30"/>
      <c r="C93" s="35"/>
      <c r="D93" s="34"/>
      <c r="E93" s="39">
        <f>IF(A93="","",SUMIFS(Transactions!$H$2:$H$1001,Transactions!$F$2:$F$1001,A93,Transactions!$C$2:$C$1001,"issue",Transactions!$D$2:$D$1001,"&gt;="&amp;(NOW()-30)))</f>
      </c>
      <c r="F93" s="39">
        <f>IF(A93="","",COUNTIFS(Transactions!$F$2:$F$1001,A93,Transactions!$C$2:$C$1001,"loan",Transactions!$D$2:$D$1001,"&gt;="&amp;(NOW()-30)))</f>
      </c>
      <c r="G93" s="39">
        <f>IF(A93="","",COUNTIFS(Transactions!$F$2:$F$1001,A93,Transactions!$C$2:$C$1001,"unfilled",Transactions!$D$2:$D$1001,"&gt;="&amp;(NOW()-30)))</f>
      </c>
      <c r="H93" s="36"/>
    </row>
    <row r="94">
      <c r="A94" s="31"/>
      <c r="B94" s="30"/>
      <c r="C94" s="35"/>
      <c r="D94" s="34"/>
      <c r="E94" s="39">
        <f>IF(A94="","",SUMIFS(Transactions!$H$2:$H$1001,Transactions!$F$2:$F$1001,A94,Transactions!$C$2:$C$1001,"issue",Transactions!$D$2:$D$1001,"&gt;="&amp;(NOW()-30)))</f>
      </c>
      <c r="F94" s="39">
        <f>IF(A94="","",COUNTIFS(Transactions!$F$2:$F$1001,A94,Transactions!$C$2:$C$1001,"loan",Transactions!$D$2:$D$1001,"&gt;="&amp;(NOW()-30)))</f>
      </c>
      <c r="G94" s="39">
        <f>IF(A94="","",COUNTIFS(Transactions!$F$2:$F$1001,A94,Transactions!$C$2:$C$1001,"unfilled",Transactions!$D$2:$D$1001,"&gt;="&amp;(NOW()-30)))</f>
      </c>
      <c r="H94" s="36"/>
    </row>
    <row r="95">
      <c r="A95" s="31"/>
      <c r="B95" s="30"/>
      <c r="C95" s="35"/>
      <c r="D95" s="34"/>
      <c r="E95" s="39">
        <f>IF(A95="","",SUMIFS(Transactions!$H$2:$H$1001,Transactions!$F$2:$F$1001,A95,Transactions!$C$2:$C$1001,"issue",Transactions!$D$2:$D$1001,"&gt;="&amp;(NOW()-30)))</f>
      </c>
      <c r="F95" s="39">
        <f>IF(A95="","",COUNTIFS(Transactions!$F$2:$F$1001,A95,Transactions!$C$2:$C$1001,"loan",Transactions!$D$2:$D$1001,"&gt;="&amp;(NOW()-30)))</f>
      </c>
      <c r="G95" s="39">
        <f>IF(A95="","",COUNTIFS(Transactions!$F$2:$F$1001,A95,Transactions!$C$2:$C$1001,"unfilled",Transactions!$D$2:$D$1001,"&gt;="&amp;(NOW()-30)))</f>
      </c>
      <c r="H95" s="36"/>
    </row>
    <row r="96">
      <c r="A96" s="31"/>
      <c r="B96" s="30"/>
      <c r="C96" s="35"/>
      <c r="D96" s="34"/>
      <c r="E96" s="39">
        <f>IF(A96="","",SUMIFS(Transactions!$H$2:$H$1001,Transactions!$F$2:$F$1001,A96,Transactions!$C$2:$C$1001,"issue",Transactions!$D$2:$D$1001,"&gt;="&amp;(NOW()-30)))</f>
      </c>
      <c r="F96" s="39">
        <f>IF(A96="","",COUNTIFS(Transactions!$F$2:$F$1001,A96,Transactions!$C$2:$C$1001,"loan",Transactions!$D$2:$D$1001,"&gt;="&amp;(NOW()-30)))</f>
      </c>
      <c r="G96" s="39">
        <f>IF(A96="","",COUNTIFS(Transactions!$F$2:$F$1001,A96,Transactions!$C$2:$C$1001,"unfilled",Transactions!$D$2:$D$1001,"&gt;="&amp;(NOW()-30)))</f>
      </c>
      <c r="H96" s="36"/>
    </row>
    <row r="97">
      <c r="A97" s="31"/>
      <c r="B97" s="30"/>
      <c r="C97" s="35"/>
      <c r="D97" s="34"/>
      <c r="E97" s="39">
        <f>IF(A97="","",SUMIFS(Transactions!$H$2:$H$1001,Transactions!$F$2:$F$1001,A97,Transactions!$C$2:$C$1001,"issue",Transactions!$D$2:$D$1001,"&gt;="&amp;(NOW()-30)))</f>
      </c>
      <c r="F97" s="39">
        <f>IF(A97="","",COUNTIFS(Transactions!$F$2:$F$1001,A97,Transactions!$C$2:$C$1001,"loan",Transactions!$D$2:$D$1001,"&gt;="&amp;(NOW()-30)))</f>
      </c>
      <c r="G97" s="39">
        <f>IF(A97="","",COUNTIFS(Transactions!$F$2:$F$1001,A97,Transactions!$C$2:$C$1001,"unfilled",Transactions!$D$2:$D$1001,"&gt;="&amp;(NOW()-30)))</f>
      </c>
      <c r="H97" s="36"/>
    </row>
    <row r="98">
      <c r="A98" s="31"/>
      <c r="B98" s="30"/>
      <c r="C98" s="35"/>
      <c r="D98" s="34"/>
      <c r="E98" s="39">
        <f>IF(A98="","",SUMIFS(Transactions!$H$2:$H$1001,Transactions!$F$2:$F$1001,A98,Transactions!$C$2:$C$1001,"issue",Transactions!$D$2:$D$1001,"&gt;="&amp;(NOW()-30)))</f>
      </c>
      <c r="F98" s="39">
        <f>IF(A98="","",COUNTIFS(Transactions!$F$2:$F$1001,A98,Transactions!$C$2:$C$1001,"loan",Transactions!$D$2:$D$1001,"&gt;="&amp;(NOW()-30)))</f>
      </c>
      <c r="G98" s="39">
        <f>IF(A98="","",COUNTIFS(Transactions!$F$2:$F$1001,A98,Transactions!$C$2:$C$1001,"unfilled",Transactions!$D$2:$D$1001,"&gt;="&amp;(NOW()-30)))</f>
      </c>
      <c r="H98" s="36"/>
    </row>
    <row r="99">
      <c r="A99" s="31"/>
      <c r="B99" s="30"/>
      <c r="C99" s="35"/>
      <c r="D99" s="34"/>
      <c r="E99" s="39">
        <f>IF(A99="","",SUMIFS(Transactions!$H$2:$H$1001,Transactions!$F$2:$F$1001,A99,Transactions!$C$2:$C$1001,"issue",Transactions!$D$2:$D$1001,"&gt;="&amp;(NOW()-30)))</f>
      </c>
      <c r="F99" s="39">
        <f>IF(A99="","",COUNTIFS(Transactions!$F$2:$F$1001,A99,Transactions!$C$2:$C$1001,"loan",Transactions!$D$2:$D$1001,"&gt;="&amp;(NOW()-30)))</f>
      </c>
      <c r="G99" s="39">
        <f>IF(A99="","",COUNTIFS(Transactions!$F$2:$F$1001,A99,Transactions!$C$2:$C$1001,"unfilled",Transactions!$D$2:$D$1001,"&gt;="&amp;(NOW()-30)))</f>
      </c>
      <c r="H99" s="36"/>
    </row>
    <row r="100">
      <c r="A100" s="31"/>
      <c r="B100" s="30"/>
      <c r="C100" s="35"/>
      <c r="D100" s="34"/>
      <c r="E100" s="39">
        <f>IF(A100="","",SUMIFS(Transactions!$H$2:$H$1001,Transactions!$F$2:$F$1001,A100,Transactions!$C$2:$C$1001,"issue",Transactions!$D$2:$D$1001,"&gt;="&amp;(NOW()-30)))</f>
      </c>
      <c r="F100" s="39">
        <f>IF(A100="","",COUNTIFS(Transactions!$F$2:$F$1001,A100,Transactions!$C$2:$C$1001,"loan",Transactions!$D$2:$D$1001,"&gt;="&amp;(NOW()-30)))</f>
      </c>
      <c r="G100" s="39">
        <f>IF(A100="","",COUNTIFS(Transactions!$F$2:$F$1001,A100,Transactions!$C$2:$C$1001,"unfilled",Transactions!$D$2:$D$1001,"&gt;="&amp;(NOW()-30)))</f>
      </c>
      <c r="H100" s="36"/>
    </row>
    <row r="101">
      <c r="A101" s="31"/>
      <c r="B101" s="30"/>
      <c r="C101" s="35"/>
      <c r="D101" s="34"/>
      <c r="E101" s="39">
        <f>IF(A101="","",SUMIFS(Transactions!$H$2:$H$1001,Transactions!$F$2:$F$1001,A101,Transactions!$C$2:$C$1001,"issue",Transactions!$D$2:$D$1001,"&gt;="&amp;(NOW()-30)))</f>
      </c>
      <c r="F101" s="39">
        <f>IF(A101="","",COUNTIFS(Transactions!$F$2:$F$1001,A101,Transactions!$C$2:$C$1001,"loan",Transactions!$D$2:$D$1001,"&gt;="&amp;(NOW()-30)))</f>
      </c>
      <c r="G101" s="39">
        <f>IF(A101="","",COUNTIFS(Transactions!$F$2:$F$1001,A101,Transactions!$C$2:$C$1001,"unfilled",Transactions!$D$2:$D$1001,"&gt;="&amp;(NOW()-30)))</f>
      </c>
      <c r="H101" s="36"/>
    </row>
    <row r="102">
      <c r="A102" s="31"/>
      <c r="B102" s="30"/>
      <c r="C102" s="35"/>
      <c r="D102" s="34"/>
      <c r="E102" s="39">
        <f>IF(A102="","",SUMIFS(Transactions!$H$2:$H$1001,Transactions!$F$2:$F$1001,A102,Transactions!$C$2:$C$1001,"issue",Transactions!$D$2:$D$1001,"&gt;="&amp;(NOW()-30)))</f>
      </c>
      <c r="F102" s="39">
        <f>IF(A102="","",COUNTIFS(Transactions!$F$2:$F$1001,A102,Transactions!$C$2:$C$1001,"loan",Transactions!$D$2:$D$1001,"&gt;="&amp;(NOW()-30)))</f>
      </c>
      <c r="G102" s="39">
        <f>IF(A102="","",COUNTIFS(Transactions!$F$2:$F$1001,A102,Transactions!$C$2:$C$1001,"unfilled",Transactions!$D$2:$D$1001,"&gt;="&amp;(NOW()-30)))</f>
      </c>
      <c r="H102" s="36"/>
    </row>
    <row r="103">
      <c r="A103" s="31"/>
      <c r="B103" s="30"/>
      <c r="C103" s="35"/>
      <c r="D103" s="34"/>
      <c r="E103" s="39">
        <f>IF(A103="","",SUMIFS(Transactions!$H$2:$H$1001,Transactions!$F$2:$F$1001,A103,Transactions!$C$2:$C$1001,"issue",Transactions!$D$2:$D$1001,"&gt;="&amp;(NOW()-30)))</f>
      </c>
      <c r="F103" s="39">
        <f>IF(A103="","",COUNTIFS(Transactions!$F$2:$F$1001,A103,Transactions!$C$2:$C$1001,"loan",Transactions!$D$2:$D$1001,"&gt;="&amp;(NOW()-30)))</f>
      </c>
      <c r="G103" s="39">
        <f>IF(A103="","",COUNTIFS(Transactions!$F$2:$F$1001,A103,Transactions!$C$2:$C$1001,"unfilled",Transactions!$D$2:$D$1001,"&gt;="&amp;(NOW()-30)))</f>
      </c>
      <c r="H103" s="36"/>
    </row>
    <row r="104">
      <c r="A104" s="31"/>
      <c r="B104" s="30"/>
      <c r="C104" s="35"/>
      <c r="D104" s="34"/>
      <c r="E104" s="39">
        <f>IF(A104="","",SUMIFS(Transactions!$H$2:$H$1001,Transactions!$F$2:$F$1001,A104,Transactions!$C$2:$C$1001,"issue",Transactions!$D$2:$D$1001,"&gt;="&amp;(NOW()-30)))</f>
      </c>
      <c r="F104" s="39">
        <f>IF(A104="","",COUNTIFS(Transactions!$F$2:$F$1001,A104,Transactions!$C$2:$C$1001,"loan",Transactions!$D$2:$D$1001,"&gt;="&amp;(NOW()-30)))</f>
      </c>
      <c r="G104" s="39">
        <f>IF(A104="","",COUNTIFS(Transactions!$F$2:$F$1001,A104,Transactions!$C$2:$C$1001,"unfilled",Transactions!$D$2:$D$1001,"&gt;="&amp;(NOW()-30)))</f>
      </c>
      <c r="H104" s="36"/>
    </row>
    <row r="105">
      <c r="A105" s="31"/>
      <c r="B105" s="30"/>
      <c r="C105" s="35"/>
      <c r="D105" s="34"/>
      <c r="E105" s="39">
        <f>IF(A105="","",SUMIFS(Transactions!$H$2:$H$1001,Transactions!$F$2:$F$1001,A105,Transactions!$C$2:$C$1001,"issue",Transactions!$D$2:$D$1001,"&gt;="&amp;(NOW()-30)))</f>
      </c>
      <c r="F105" s="39">
        <f>IF(A105="","",COUNTIFS(Transactions!$F$2:$F$1001,A105,Transactions!$C$2:$C$1001,"loan",Transactions!$D$2:$D$1001,"&gt;="&amp;(NOW()-30)))</f>
      </c>
      <c r="G105" s="39">
        <f>IF(A105="","",COUNTIFS(Transactions!$F$2:$F$1001,A105,Transactions!$C$2:$C$1001,"unfilled",Transactions!$D$2:$D$1001,"&gt;="&amp;(NOW()-30)))</f>
      </c>
      <c r="H105" s="36"/>
    </row>
    <row r="106">
      <c r="A106" s="31"/>
      <c r="B106" s="30"/>
      <c r="C106" s="35"/>
      <c r="D106" s="34"/>
      <c r="E106" s="39">
        <f>IF(A106="","",SUMIFS(Transactions!$H$2:$H$1001,Transactions!$F$2:$F$1001,A106,Transactions!$C$2:$C$1001,"issue",Transactions!$D$2:$D$1001,"&gt;="&amp;(NOW()-30)))</f>
      </c>
      <c r="F106" s="39">
        <f>IF(A106="","",COUNTIFS(Transactions!$F$2:$F$1001,A106,Transactions!$C$2:$C$1001,"loan",Transactions!$D$2:$D$1001,"&gt;="&amp;(NOW()-30)))</f>
      </c>
      <c r="G106" s="39">
        <f>IF(A106="","",COUNTIFS(Transactions!$F$2:$F$1001,A106,Transactions!$C$2:$C$1001,"unfilled",Transactions!$D$2:$D$1001,"&gt;="&amp;(NOW()-30)))</f>
      </c>
      <c r="H106" s="36"/>
    </row>
    <row r="107">
      <c r="A107" s="31"/>
      <c r="B107" s="30"/>
      <c r="C107" s="35"/>
      <c r="D107" s="34"/>
      <c r="E107" s="39">
        <f>IF(A107="","",SUMIFS(Transactions!$H$2:$H$1001,Transactions!$F$2:$F$1001,A107,Transactions!$C$2:$C$1001,"issue",Transactions!$D$2:$D$1001,"&gt;="&amp;(NOW()-30)))</f>
      </c>
      <c r="F107" s="39">
        <f>IF(A107="","",COUNTIFS(Transactions!$F$2:$F$1001,A107,Transactions!$C$2:$C$1001,"loan",Transactions!$D$2:$D$1001,"&gt;="&amp;(NOW()-30)))</f>
      </c>
      <c r="G107" s="39">
        <f>IF(A107="","",COUNTIFS(Transactions!$F$2:$F$1001,A107,Transactions!$C$2:$C$1001,"unfilled",Transactions!$D$2:$D$1001,"&gt;="&amp;(NOW()-30)))</f>
      </c>
      <c r="H107" s="36"/>
    </row>
    <row r="108">
      <c r="A108" s="31"/>
      <c r="B108" s="30"/>
      <c r="C108" s="35"/>
      <c r="D108" s="34"/>
      <c r="E108" s="39">
        <f>IF(A108="","",SUMIFS(Transactions!$H$2:$H$1001,Transactions!$F$2:$F$1001,A108,Transactions!$C$2:$C$1001,"issue",Transactions!$D$2:$D$1001,"&gt;="&amp;(NOW()-30)))</f>
      </c>
      <c r="F108" s="39">
        <f>IF(A108="","",COUNTIFS(Transactions!$F$2:$F$1001,A108,Transactions!$C$2:$C$1001,"loan",Transactions!$D$2:$D$1001,"&gt;="&amp;(NOW()-30)))</f>
      </c>
      <c r="G108" s="39">
        <f>IF(A108="","",COUNTIFS(Transactions!$F$2:$F$1001,A108,Transactions!$C$2:$C$1001,"unfilled",Transactions!$D$2:$D$1001,"&gt;="&amp;(NOW()-30)))</f>
      </c>
      <c r="H108" s="36"/>
    </row>
    <row r="109">
      <c r="A109" s="31"/>
      <c r="B109" s="30"/>
      <c r="C109" s="35"/>
      <c r="D109" s="34"/>
      <c r="E109" s="39">
        <f>IF(A109="","",SUMIFS(Transactions!$H$2:$H$1001,Transactions!$F$2:$F$1001,A109,Transactions!$C$2:$C$1001,"issue",Transactions!$D$2:$D$1001,"&gt;="&amp;(NOW()-30)))</f>
      </c>
      <c r="F109" s="39">
        <f>IF(A109="","",COUNTIFS(Transactions!$F$2:$F$1001,A109,Transactions!$C$2:$C$1001,"loan",Transactions!$D$2:$D$1001,"&gt;="&amp;(NOW()-30)))</f>
      </c>
      <c r="G109" s="39">
        <f>IF(A109="","",COUNTIFS(Transactions!$F$2:$F$1001,A109,Transactions!$C$2:$C$1001,"unfilled",Transactions!$D$2:$D$1001,"&gt;="&amp;(NOW()-30)))</f>
      </c>
      <c r="H109" s="36"/>
    </row>
    <row r="110">
      <c r="A110" s="31"/>
      <c r="B110" s="30"/>
      <c r="C110" s="35"/>
      <c r="D110" s="34"/>
      <c r="E110" s="39">
        <f>IF(A110="","",SUMIFS(Transactions!$H$2:$H$1001,Transactions!$F$2:$F$1001,A110,Transactions!$C$2:$C$1001,"issue",Transactions!$D$2:$D$1001,"&gt;="&amp;(NOW()-30)))</f>
      </c>
      <c r="F110" s="39">
        <f>IF(A110="","",COUNTIFS(Transactions!$F$2:$F$1001,A110,Transactions!$C$2:$C$1001,"loan",Transactions!$D$2:$D$1001,"&gt;="&amp;(NOW()-30)))</f>
      </c>
      <c r="G110" s="39">
        <f>IF(A110="","",COUNTIFS(Transactions!$F$2:$F$1001,A110,Transactions!$C$2:$C$1001,"unfilled",Transactions!$D$2:$D$1001,"&gt;="&amp;(NOW()-30)))</f>
      </c>
      <c r="H110" s="36"/>
    </row>
    <row r="111">
      <c r="A111" s="31"/>
      <c r="B111" s="30"/>
      <c r="C111" s="35"/>
      <c r="D111" s="34"/>
      <c r="E111" s="39">
        <f>IF(A111="","",SUMIFS(Transactions!$H$2:$H$1001,Transactions!$F$2:$F$1001,A111,Transactions!$C$2:$C$1001,"issue",Transactions!$D$2:$D$1001,"&gt;="&amp;(NOW()-30)))</f>
      </c>
      <c r="F111" s="39">
        <f>IF(A111="","",COUNTIFS(Transactions!$F$2:$F$1001,A111,Transactions!$C$2:$C$1001,"loan",Transactions!$D$2:$D$1001,"&gt;="&amp;(NOW()-30)))</f>
      </c>
      <c r="G111" s="39">
        <f>IF(A111="","",COUNTIFS(Transactions!$F$2:$F$1001,A111,Transactions!$C$2:$C$1001,"unfilled",Transactions!$D$2:$D$1001,"&gt;="&amp;(NOW()-30)))</f>
      </c>
      <c r="H111" s="36"/>
    </row>
    <row r="112">
      <c r="A112" s="31"/>
      <c r="B112" s="30"/>
      <c r="C112" s="35"/>
      <c r="D112" s="34"/>
      <c r="E112" s="39">
        <f>IF(A112="","",SUMIFS(Transactions!$H$2:$H$1001,Transactions!$F$2:$F$1001,A112,Transactions!$C$2:$C$1001,"issue",Transactions!$D$2:$D$1001,"&gt;="&amp;(NOW()-30)))</f>
      </c>
      <c r="F112" s="39">
        <f>IF(A112="","",COUNTIFS(Transactions!$F$2:$F$1001,A112,Transactions!$C$2:$C$1001,"loan",Transactions!$D$2:$D$1001,"&gt;="&amp;(NOW()-30)))</f>
      </c>
      <c r="G112" s="39">
        <f>IF(A112="","",COUNTIFS(Transactions!$F$2:$F$1001,A112,Transactions!$C$2:$C$1001,"unfilled",Transactions!$D$2:$D$1001,"&gt;="&amp;(NOW()-30)))</f>
      </c>
      <c r="H112" s="36"/>
    </row>
    <row r="113">
      <c r="A113" s="31"/>
      <c r="B113" s="30"/>
      <c r="C113" s="35"/>
      <c r="D113" s="34"/>
      <c r="E113" s="39">
        <f>IF(A113="","",SUMIFS(Transactions!$H$2:$H$1001,Transactions!$F$2:$F$1001,A113,Transactions!$C$2:$C$1001,"issue",Transactions!$D$2:$D$1001,"&gt;="&amp;(NOW()-30)))</f>
      </c>
      <c r="F113" s="39">
        <f>IF(A113="","",COUNTIFS(Transactions!$F$2:$F$1001,A113,Transactions!$C$2:$C$1001,"loan",Transactions!$D$2:$D$1001,"&gt;="&amp;(NOW()-30)))</f>
      </c>
      <c r="G113" s="39">
        <f>IF(A113="","",COUNTIFS(Transactions!$F$2:$F$1001,A113,Transactions!$C$2:$C$1001,"unfilled",Transactions!$D$2:$D$1001,"&gt;="&amp;(NOW()-30)))</f>
      </c>
      <c r="H113" s="36"/>
    </row>
    <row r="114">
      <c r="A114" s="31"/>
      <c r="B114" s="30"/>
      <c r="C114" s="35"/>
      <c r="D114" s="34"/>
      <c r="E114" s="39">
        <f>IF(A114="","",SUMIFS(Transactions!$H$2:$H$1001,Transactions!$F$2:$F$1001,A114,Transactions!$C$2:$C$1001,"issue",Transactions!$D$2:$D$1001,"&gt;="&amp;(NOW()-30)))</f>
      </c>
      <c r="F114" s="39">
        <f>IF(A114="","",COUNTIFS(Transactions!$F$2:$F$1001,A114,Transactions!$C$2:$C$1001,"loan",Transactions!$D$2:$D$1001,"&gt;="&amp;(NOW()-30)))</f>
      </c>
      <c r="G114" s="39">
        <f>IF(A114="","",COUNTIFS(Transactions!$F$2:$F$1001,A114,Transactions!$C$2:$C$1001,"unfilled",Transactions!$D$2:$D$1001,"&gt;="&amp;(NOW()-30)))</f>
      </c>
      <c r="H114" s="36"/>
    </row>
    <row r="115">
      <c r="A115" s="31"/>
      <c r="B115" s="30"/>
      <c r="C115" s="35"/>
      <c r="D115" s="34"/>
      <c r="E115" s="39">
        <f>IF(A115="","",SUMIFS(Transactions!$H$2:$H$1001,Transactions!$F$2:$F$1001,A115,Transactions!$C$2:$C$1001,"issue",Transactions!$D$2:$D$1001,"&gt;="&amp;(NOW()-30)))</f>
      </c>
      <c r="F115" s="39">
        <f>IF(A115="","",COUNTIFS(Transactions!$F$2:$F$1001,A115,Transactions!$C$2:$C$1001,"loan",Transactions!$D$2:$D$1001,"&gt;="&amp;(NOW()-30)))</f>
      </c>
      <c r="G115" s="39">
        <f>IF(A115="","",COUNTIFS(Transactions!$F$2:$F$1001,A115,Transactions!$C$2:$C$1001,"unfilled",Transactions!$D$2:$D$1001,"&gt;="&amp;(NOW()-30)))</f>
      </c>
      <c r="H115" s="36"/>
    </row>
    <row r="116">
      <c r="A116" s="31"/>
      <c r="B116" s="30"/>
      <c r="C116" s="35"/>
      <c r="D116" s="34"/>
      <c r="E116" s="39">
        <f>IF(A116="","",SUMIFS(Transactions!$H$2:$H$1001,Transactions!$F$2:$F$1001,A116,Transactions!$C$2:$C$1001,"issue",Transactions!$D$2:$D$1001,"&gt;="&amp;(NOW()-30)))</f>
      </c>
      <c r="F116" s="39">
        <f>IF(A116="","",COUNTIFS(Transactions!$F$2:$F$1001,A116,Transactions!$C$2:$C$1001,"loan",Transactions!$D$2:$D$1001,"&gt;="&amp;(NOW()-30)))</f>
      </c>
      <c r="G116" s="39">
        <f>IF(A116="","",COUNTIFS(Transactions!$F$2:$F$1001,A116,Transactions!$C$2:$C$1001,"unfilled",Transactions!$D$2:$D$1001,"&gt;="&amp;(NOW()-30)))</f>
      </c>
      <c r="H116" s="36"/>
    </row>
    <row r="117">
      <c r="A117" s="31"/>
      <c r="B117" s="30"/>
      <c r="C117" s="35"/>
      <c r="D117" s="34"/>
      <c r="E117" s="39">
        <f>IF(A117="","",SUMIFS(Transactions!$H$2:$H$1001,Transactions!$F$2:$F$1001,A117,Transactions!$C$2:$C$1001,"issue",Transactions!$D$2:$D$1001,"&gt;="&amp;(NOW()-30)))</f>
      </c>
      <c r="F117" s="39">
        <f>IF(A117="","",COUNTIFS(Transactions!$F$2:$F$1001,A117,Transactions!$C$2:$C$1001,"loan",Transactions!$D$2:$D$1001,"&gt;="&amp;(NOW()-30)))</f>
      </c>
      <c r="G117" s="39">
        <f>IF(A117="","",COUNTIFS(Transactions!$F$2:$F$1001,A117,Transactions!$C$2:$C$1001,"unfilled",Transactions!$D$2:$D$1001,"&gt;="&amp;(NOW()-30)))</f>
      </c>
      <c r="H117" s="36"/>
    </row>
    <row r="118">
      <c r="A118" s="31"/>
      <c r="B118" s="30"/>
      <c r="C118" s="35"/>
      <c r="D118" s="34"/>
      <c r="E118" s="39">
        <f>IF(A118="","",SUMIFS(Transactions!$H$2:$H$1001,Transactions!$F$2:$F$1001,A118,Transactions!$C$2:$C$1001,"issue",Transactions!$D$2:$D$1001,"&gt;="&amp;(NOW()-30)))</f>
      </c>
      <c r="F118" s="39">
        <f>IF(A118="","",COUNTIFS(Transactions!$F$2:$F$1001,A118,Transactions!$C$2:$C$1001,"loan",Transactions!$D$2:$D$1001,"&gt;="&amp;(NOW()-30)))</f>
      </c>
      <c r="G118" s="39">
        <f>IF(A118="","",COUNTIFS(Transactions!$F$2:$F$1001,A118,Transactions!$C$2:$C$1001,"unfilled",Transactions!$D$2:$D$1001,"&gt;="&amp;(NOW()-30)))</f>
      </c>
      <c r="H118" s="36"/>
    </row>
    <row r="119">
      <c r="A119" s="31"/>
      <c r="B119" s="30"/>
      <c r="C119" s="35"/>
      <c r="D119" s="34"/>
      <c r="E119" s="39">
        <f>IF(A119="","",SUMIFS(Transactions!$H$2:$H$1001,Transactions!$F$2:$F$1001,A119,Transactions!$C$2:$C$1001,"issue",Transactions!$D$2:$D$1001,"&gt;="&amp;(NOW()-30)))</f>
      </c>
      <c r="F119" s="39">
        <f>IF(A119="","",COUNTIFS(Transactions!$F$2:$F$1001,A119,Transactions!$C$2:$C$1001,"loan",Transactions!$D$2:$D$1001,"&gt;="&amp;(NOW()-30)))</f>
      </c>
      <c r="G119" s="39">
        <f>IF(A119="","",COUNTIFS(Transactions!$F$2:$F$1001,A119,Transactions!$C$2:$C$1001,"unfilled",Transactions!$D$2:$D$1001,"&gt;="&amp;(NOW()-30)))</f>
      </c>
      <c r="H119" s="36"/>
    </row>
    <row r="120">
      <c r="A120" s="31"/>
      <c r="B120" s="30"/>
      <c r="C120" s="35"/>
      <c r="D120" s="34"/>
      <c r="E120" s="39">
        <f>IF(A120="","",SUMIFS(Transactions!$H$2:$H$1001,Transactions!$F$2:$F$1001,A120,Transactions!$C$2:$C$1001,"issue",Transactions!$D$2:$D$1001,"&gt;="&amp;(NOW()-30)))</f>
      </c>
      <c r="F120" s="39">
        <f>IF(A120="","",COUNTIFS(Transactions!$F$2:$F$1001,A120,Transactions!$C$2:$C$1001,"loan",Transactions!$D$2:$D$1001,"&gt;="&amp;(NOW()-30)))</f>
      </c>
      <c r="G120" s="39">
        <f>IF(A120="","",COUNTIFS(Transactions!$F$2:$F$1001,A120,Transactions!$C$2:$C$1001,"unfilled",Transactions!$D$2:$D$1001,"&gt;="&amp;(NOW()-30)))</f>
      </c>
      <c r="H120" s="36"/>
    </row>
    <row r="121">
      <c r="A121" s="31"/>
      <c r="B121" s="30"/>
      <c r="C121" s="35"/>
      <c r="D121" s="34"/>
      <c r="E121" s="39">
        <f>IF(A121="","",SUMIFS(Transactions!$H$2:$H$1001,Transactions!$F$2:$F$1001,A121,Transactions!$C$2:$C$1001,"issue",Transactions!$D$2:$D$1001,"&gt;="&amp;(NOW()-30)))</f>
      </c>
      <c r="F121" s="39">
        <f>IF(A121="","",COUNTIFS(Transactions!$F$2:$F$1001,A121,Transactions!$C$2:$C$1001,"loan",Transactions!$D$2:$D$1001,"&gt;="&amp;(NOW()-30)))</f>
      </c>
      <c r="G121" s="39">
        <f>IF(A121="","",COUNTIFS(Transactions!$F$2:$F$1001,A121,Transactions!$C$2:$C$1001,"unfilled",Transactions!$D$2:$D$1001,"&gt;="&amp;(NOW()-30)))</f>
      </c>
      <c r="H121" s="36"/>
    </row>
    <row r="122">
      <c r="A122" s="31"/>
      <c r="B122" s="30"/>
      <c r="C122" s="35"/>
      <c r="D122" s="34"/>
      <c r="E122" s="39">
        <f>IF(A122="","",SUMIFS(Transactions!$H$2:$H$1001,Transactions!$F$2:$F$1001,A122,Transactions!$C$2:$C$1001,"issue",Transactions!$D$2:$D$1001,"&gt;="&amp;(NOW()-30)))</f>
      </c>
      <c r="F122" s="39">
        <f>IF(A122="","",COUNTIFS(Transactions!$F$2:$F$1001,A122,Transactions!$C$2:$C$1001,"loan",Transactions!$D$2:$D$1001,"&gt;="&amp;(NOW()-30)))</f>
      </c>
      <c r="G122" s="39">
        <f>IF(A122="","",COUNTIFS(Transactions!$F$2:$F$1001,A122,Transactions!$C$2:$C$1001,"unfilled",Transactions!$D$2:$D$1001,"&gt;="&amp;(NOW()-30)))</f>
      </c>
      <c r="H122" s="36"/>
    </row>
    <row r="123">
      <c r="A123" s="31"/>
      <c r="B123" s="30"/>
      <c r="C123" s="35"/>
      <c r="D123" s="34"/>
      <c r="E123" s="39">
        <f>IF(A123="","",SUMIFS(Transactions!$H$2:$H$1001,Transactions!$F$2:$F$1001,A123,Transactions!$C$2:$C$1001,"issue",Transactions!$D$2:$D$1001,"&gt;="&amp;(NOW()-30)))</f>
      </c>
      <c r="F123" s="39">
        <f>IF(A123="","",COUNTIFS(Transactions!$F$2:$F$1001,A123,Transactions!$C$2:$C$1001,"loan",Transactions!$D$2:$D$1001,"&gt;="&amp;(NOW()-30)))</f>
      </c>
      <c r="G123" s="39">
        <f>IF(A123="","",COUNTIFS(Transactions!$F$2:$F$1001,A123,Transactions!$C$2:$C$1001,"unfilled",Transactions!$D$2:$D$1001,"&gt;="&amp;(NOW()-30)))</f>
      </c>
      <c r="H123" s="36"/>
    </row>
    <row r="124">
      <c r="A124" s="31"/>
      <c r="B124" s="30"/>
      <c r="C124" s="35"/>
      <c r="D124" s="34"/>
      <c r="E124" s="39">
        <f>IF(A124="","",SUMIFS(Transactions!$H$2:$H$1001,Transactions!$F$2:$F$1001,A124,Transactions!$C$2:$C$1001,"issue",Transactions!$D$2:$D$1001,"&gt;="&amp;(NOW()-30)))</f>
      </c>
      <c r="F124" s="39">
        <f>IF(A124="","",COUNTIFS(Transactions!$F$2:$F$1001,A124,Transactions!$C$2:$C$1001,"loan",Transactions!$D$2:$D$1001,"&gt;="&amp;(NOW()-30)))</f>
      </c>
      <c r="G124" s="39">
        <f>IF(A124="","",COUNTIFS(Transactions!$F$2:$F$1001,A124,Transactions!$C$2:$C$1001,"unfilled",Transactions!$D$2:$D$1001,"&gt;="&amp;(NOW()-30)))</f>
      </c>
      <c r="H124" s="36"/>
    </row>
    <row r="125">
      <c r="A125" s="31"/>
      <c r="B125" s="30"/>
      <c r="C125" s="35"/>
      <c r="D125" s="34"/>
      <c r="E125" s="39">
        <f>IF(A125="","",SUMIFS(Transactions!$H$2:$H$1001,Transactions!$F$2:$F$1001,A125,Transactions!$C$2:$C$1001,"issue",Transactions!$D$2:$D$1001,"&gt;="&amp;(NOW()-30)))</f>
      </c>
      <c r="F125" s="39">
        <f>IF(A125="","",COUNTIFS(Transactions!$F$2:$F$1001,A125,Transactions!$C$2:$C$1001,"loan",Transactions!$D$2:$D$1001,"&gt;="&amp;(NOW()-30)))</f>
      </c>
      <c r="G125" s="39">
        <f>IF(A125="","",COUNTIFS(Transactions!$F$2:$F$1001,A125,Transactions!$C$2:$C$1001,"unfilled",Transactions!$D$2:$D$1001,"&gt;="&amp;(NOW()-30)))</f>
      </c>
      <c r="H125" s="36"/>
    </row>
    <row r="126">
      <c r="A126" s="31"/>
      <c r="B126" s="30"/>
      <c r="C126" s="35"/>
      <c r="D126" s="34"/>
      <c r="E126" s="39">
        <f>IF(A126="","",SUMIFS(Transactions!$H$2:$H$1001,Transactions!$F$2:$F$1001,A126,Transactions!$C$2:$C$1001,"issue",Transactions!$D$2:$D$1001,"&gt;="&amp;(NOW()-30)))</f>
      </c>
      <c r="F126" s="39">
        <f>IF(A126="","",COUNTIFS(Transactions!$F$2:$F$1001,A126,Transactions!$C$2:$C$1001,"loan",Transactions!$D$2:$D$1001,"&gt;="&amp;(NOW()-30)))</f>
      </c>
      <c r="G126" s="39">
        <f>IF(A126="","",COUNTIFS(Transactions!$F$2:$F$1001,A126,Transactions!$C$2:$C$1001,"unfilled",Transactions!$D$2:$D$1001,"&gt;="&amp;(NOW()-30)))</f>
      </c>
      <c r="H126" s="36"/>
    </row>
    <row r="127">
      <c r="A127" s="31"/>
      <c r="B127" s="30"/>
      <c r="C127" s="35"/>
      <c r="D127" s="34"/>
      <c r="E127" s="39">
        <f>IF(A127="","",SUMIFS(Transactions!$H$2:$H$1001,Transactions!$F$2:$F$1001,A127,Transactions!$C$2:$C$1001,"issue",Transactions!$D$2:$D$1001,"&gt;="&amp;(NOW()-30)))</f>
      </c>
      <c r="F127" s="39">
        <f>IF(A127="","",COUNTIFS(Transactions!$F$2:$F$1001,A127,Transactions!$C$2:$C$1001,"loan",Transactions!$D$2:$D$1001,"&gt;="&amp;(NOW()-30)))</f>
      </c>
      <c r="G127" s="39">
        <f>IF(A127="","",COUNTIFS(Transactions!$F$2:$F$1001,A127,Transactions!$C$2:$C$1001,"unfilled",Transactions!$D$2:$D$1001,"&gt;="&amp;(NOW()-30)))</f>
      </c>
      <c r="H127" s="36"/>
    </row>
    <row r="128">
      <c r="A128" s="31"/>
      <c r="B128" s="30"/>
      <c r="C128" s="35"/>
      <c r="D128" s="34"/>
      <c r="E128" s="39">
        <f>IF(A128="","",SUMIFS(Transactions!$H$2:$H$1001,Transactions!$F$2:$F$1001,A128,Transactions!$C$2:$C$1001,"issue",Transactions!$D$2:$D$1001,"&gt;="&amp;(NOW()-30)))</f>
      </c>
      <c r="F128" s="39">
        <f>IF(A128="","",COUNTIFS(Transactions!$F$2:$F$1001,A128,Transactions!$C$2:$C$1001,"loan",Transactions!$D$2:$D$1001,"&gt;="&amp;(NOW()-30)))</f>
      </c>
      <c r="G128" s="39">
        <f>IF(A128="","",COUNTIFS(Transactions!$F$2:$F$1001,A128,Transactions!$C$2:$C$1001,"unfilled",Transactions!$D$2:$D$1001,"&gt;="&amp;(NOW()-30)))</f>
      </c>
      <c r="H128" s="36"/>
    </row>
    <row r="129">
      <c r="A129" s="31"/>
      <c r="B129" s="30"/>
      <c r="C129" s="35"/>
      <c r="D129" s="34"/>
      <c r="E129" s="39">
        <f>IF(A129="","",SUMIFS(Transactions!$H$2:$H$1001,Transactions!$F$2:$F$1001,A129,Transactions!$C$2:$C$1001,"issue",Transactions!$D$2:$D$1001,"&gt;="&amp;(NOW()-30)))</f>
      </c>
      <c r="F129" s="39">
        <f>IF(A129="","",COUNTIFS(Transactions!$F$2:$F$1001,A129,Transactions!$C$2:$C$1001,"loan",Transactions!$D$2:$D$1001,"&gt;="&amp;(NOW()-30)))</f>
      </c>
      <c r="G129" s="39">
        <f>IF(A129="","",COUNTIFS(Transactions!$F$2:$F$1001,A129,Transactions!$C$2:$C$1001,"unfilled",Transactions!$D$2:$D$1001,"&gt;="&amp;(NOW()-30)))</f>
      </c>
      <c r="H129" s="36"/>
    </row>
    <row r="130">
      <c r="A130" s="31"/>
      <c r="B130" s="30"/>
      <c r="C130" s="35"/>
      <c r="D130" s="34"/>
      <c r="E130" s="39">
        <f>IF(A130="","",SUMIFS(Transactions!$H$2:$H$1001,Transactions!$F$2:$F$1001,A130,Transactions!$C$2:$C$1001,"issue",Transactions!$D$2:$D$1001,"&gt;="&amp;(NOW()-30)))</f>
      </c>
      <c r="F130" s="39">
        <f>IF(A130="","",COUNTIFS(Transactions!$F$2:$F$1001,A130,Transactions!$C$2:$C$1001,"loan",Transactions!$D$2:$D$1001,"&gt;="&amp;(NOW()-30)))</f>
      </c>
      <c r="G130" s="39">
        <f>IF(A130="","",COUNTIFS(Transactions!$F$2:$F$1001,A130,Transactions!$C$2:$C$1001,"unfilled",Transactions!$D$2:$D$1001,"&gt;="&amp;(NOW()-30)))</f>
      </c>
      <c r="H130" s="36"/>
    </row>
    <row r="131">
      <c r="A131" s="31"/>
      <c r="B131" s="30"/>
      <c r="C131" s="35"/>
      <c r="D131" s="34"/>
      <c r="E131" s="39">
        <f>IF(A131="","",SUMIFS(Transactions!$H$2:$H$1001,Transactions!$F$2:$F$1001,A131,Transactions!$C$2:$C$1001,"issue",Transactions!$D$2:$D$1001,"&gt;="&amp;(NOW()-30)))</f>
      </c>
      <c r="F131" s="39">
        <f>IF(A131="","",COUNTIFS(Transactions!$F$2:$F$1001,A131,Transactions!$C$2:$C$1001,"loan",Transactions!$D$2:$D$1001,"&gt;="&amp;(NOW()-30)))</f>
      </c>
      <c r="G131" s="39">
        <f>IF(A131="","",COUNTIFS(Transactions!$F$2:$F$1001,A131,Transactions!$C$2:$C$1001,"unfilled",Transactions!$D$2:$D$1001,"&gt;="&amp;(NOW()-30)))</f>
      </c>
      <c r="H131" s="36"/>
    </row>
    <row r="132">
      <c r="A132" s="31"/>
      <c r="B132" s="30"/>
      <c r="C132" s="35"/>
      <c r="D132" s="34"/>
      <c r="E132" s="39">
        <f>IF(A132="","",SUMIFS(Transactions!$H$2:$H$1001,Transactions!$F$2:$F$1001,A132,Transactions!$C$2:$C$1001,"issue",Transactions!$D$2:$D$1001,"&gt;="&amp;(NOW()-30)))</f>
      </c>
      <c r="F132" s="39">
        <f>IF(A132="","",COUNTIFS(Transactions!$F$2:$F$1001,A132,Transactions!$C$2:$C$1001,"loan",Transactions!$D$2:$D$1001,"&gt;="&amp;(NOW()-30)))</f>
      </c>
      <c r="G132" s="39">
        <f>IF(A132="","",COUNTIFS(Transactions!$F$2:$F$1001,A132,Transactions!$C$2:$C$1001,"unfilled",Transactions!$D$2:$D$1001,"&gt;="&amp;(NOW()-30)))</f>
      </c>
      <c r="H132" s="36"/>
    </row>
    <row r="133">
      <c r="A133" s="31"/>
      <c r="B133" s="30"/>
      <c r="C133" s="35"/>
      <c r="D133" s="34"/>
      <c r="E133" s="39">
        <f>IF(A133="","",SUMIFS(Transactions!$H$2:$H$1001,Transactions!$F$2:$F$1001,A133,Transactions!$C$2:$C$1001,"issue",Transactions!$D$2:$D$1001,"&gt;="&amp;(NOW()-30)))</f>
      </c>
      <c r="F133" s="39">
        <f>IF(A133="","",COUNTIFS(Transactions!$F$2:$F$1001,A133,Transactions!$C$2:$C$1001,"loan",Transactions!$D$2:$D$1001,"&gt;="&amp;(NOW()-30)))</f>
      </c>
      <c r="G133" s="39">
        <f>IF(A133="","",COUNTIFS(Transactions!$F$2:$F$1001,A133,Transactions!$C$2:$C$1001,"unfilled",Transactions!$D$2:$D$1001,"&gt;="&amp;(NOW()-30)))</f>
      </c>
      <c r="H133" s="36"/>
    </row>
    <row r="134">
      <c r="A134" s="31"/>
      <c r="B134" s="30"/>
      <c r="C134" s="35"/>
      <c r="D134" s="34"/>
      <c r="E134" s="39">
        <f>IF(A134="","",SUMIFS(Transactions!$H$2:$H$1001,Transactions!$F$2:$F$1001,A134,Transactions!$C$2:$C$1001,"issue",Transactions!$D$2:$D$1001,"&gt;="&amp;(NOW()-30)))</f>
      </c>
      <c r="F134" s="39">
        <f>IF(A134="","",COUNTIFS(Transactions!$F$2:$F$1001,A134,Transactions!$C$2:$C$1001,"loan",Transactions!$D$2:$D$1001,"&gt;="&amp;(NOW()-30)))</f>
      </c>
      <c r="G134" s="39">
        <f>IF(A134="","",COUNTIFS(Transactions!$F$2:$F$1001,A134,Transactions!$C$2:$C$1001,"unfilled",Transactions!$D$2:$D$1001,"&gt;="&amp;(NOW()-30)))</f>
      </c>
      <c r="H134" s="36"/>
    </row>
    <row r="135">
      <c r="A135" s="31"/>
      <c r="B135" s="30"/>
      <c r="C135" s="35"/>
      <c r="D135" s="34"/>
      <c r="E135" s="39">
        <f>IF(A135="","",SUMIFS(Transactions!$H$2:$H$1001,Transactions!$F$2:$F$1001,A135,Transactions!$C$2:$C$1001,"issue",Transactions!$D$2:$D$1001,"&gt;="&amp;(NOW()-30)))</f>
      </c>
      <c r="F135" s="39">
        <f>IF(A135="","",COUNTIFS(Transactions!$F$2:$F$1001,A135,Transactions!$C$2:$C$1001,"loan",Transactions!$D$2:$D$1001,"&gt;="&amp;(NOW()-30)))</f>
      </c>
      <c r="G135" s="39">
        <f>IF(A135="","",COUNTIFS(Transactions!$F$2:$F$1001,A135,Transactions!$C$2:$C$1001,"unfilled",Transactions!$D$2:$D$1001,"&gt;="&amp;(NOW()-30)))</f>
      </c>
      <c r="H135" s="36"/>
    </row>
    <row r="136">
      <c r="A136" s="31"/>
      <c r="B136" s="30"/>
      <c r="C136" s="35"/>
      <c r="D136" s="34"/>
      <c r="E136" s="39">
        <f>IF(A136="","",SUMIFS(Transactions!$H$2:$H$1001,Transactions!$F$2:$F$1001,A136,Transactions!$C$2:$C$1001,"issue",Transactions!$D$2:$D$1001,"&gt;="&amp;(NOW()-30)))</f>
      </c>
      <c r="F136" s="39">
        <f>IF(A136="","",COUNTIFS(Transactions!$F$2:$F$1001,A136,Transactions!$C$2:$C$1001,"loan",Transactions!$D$2:$D$1001,"&gt;="&amp;(NOW()-30)))</f>
      </c>
      <c r="G136" s="39">
        <f>IF(A136="","",COUNTIFS(Transactions!$F$2:$F$1001,A136,Transactions!$C$2:$C$1001,"unfilled",Transactions!$D$2:$D$1001,"&gt;="&amp;(NOW()-30)))</f>
      </c>
      <c r="H136" s="36"/>
    </row>
    <row r="137">
      <c r="A137" s="31"/>
      <c r="B137" s="30"/>
      <c r="C137" s="35"/>
      <c r="D137" s="34"/>
      <c r="E137" s="39">
        <f>IF(A137="","",SUMIFS(Transactions!$H$2:$H$1001,Transactions!$F$2:$F$1001,A137,Transactions!$C$2:$C$1001,"issue",Transactions!$D$2:$D$1001,"&gt;="&amp;(NOW()-30)))</f>
      </c>
      <c r="F137" s="39">
        <f>IF(A137="","",COUNTIFS(Transactions!$F$2:$F$1001,A137,Transactions!$C$2:$C$1001,"loan",Transactions!$D$2:$D$1001,"&gt;="&amp;(NOW()-30)))</f>
      </c>
      <c r="G137" s="39">
        <f>IF(A137="","",COUNTIFS(Transactions!$F$2:$F$1001,A137,Transactions!$C$2:$C$1001,"unfilled",Transactions!$D$2:$D$1001,"&gt;="&amp;(NOW()-30)))</f>
      </c>
      <c r="H137" s="36"/>
    </row>
    <row r="138">
      <c r="A138" s="31"/>
      <c r="B138" s="30"/>
      <c r="C138" s="35"/>
      <c r="D138" s="34"/>
      <c r="E138" s="39">
        <f>IF(A138="","",SUMIFS(Transactions!$H$2:$H$1001,Transactions!$F$2:$F$1001,A138,Transactions!$C$2:$C$1001,"issue",Transactions!$D$2:$D$1001,"&gt;="&amp;(NOW()-30)))</f>
      </c>
      <c r="F138" s="39">
        <f>IF(A138="","",COUNTIFS(Transactions!$F$2:$F$1001,A138,Transactions!$C$2:$C$1001,"loan",Transactions!$D$2:$D$1001,"&gt;="&amp;(NOW()-30)))</f>
      </c>
      <c r="G138" s="39">
        <f>IF(A138="","",COUNTIFS(Transactions!$F$2:$F$1001,A138,Transactions!$C$2:$C$1001,"unfilled",Transactions!$D$2:$D$1001,"&gt;="&amp;(NOW()-30)))</f>
      </c>
      <c r="H138" s="36"/>
    </row>
    <row r="139">
      <c r="A139" s="31"/>
      <c r="B139" s="30"/>
      <c r="C139" s="35"/>
      <c r="D139" s="34"/>
      <c r="E139" s="39">
        <f>IF(A139="","",SUMIFS(Transactions!$H$2:$H$1001,Transactions!$F$2:$F$1001,A139,Transactions!$C$2:$C$1001,"issue",Transactions!$D$2:$D$1001,"&gt;="&amp;(NOW()-30)))</f>
      </c>
      <c r="F139" s="39">
        <f>IF(A139="","",COUNTIFS(Transactions!$F$2:$F$1001,A139,Transactions!$C$2:$C$1001,"loan",Transactions!$D$2:$D$1001,"&gt;="&amp;(NOW()-30)))</f>
      </c>
      <c r="G139" s="39">
        <f>IF(A139="","",COUNTIFS(Transactions!$F$2:$F$1001,A139,Transactions!$C$2:$C$1001,"unfilled",Transactions!$D$2:$D$1001,"&gt;="&amp;(NOW()-30)))</f>
      </c>
      <c r="H139" s="36"/>
    </row>
    <row r="140">
      <c r="A140" s="31"/>
      <c r="B140" s="30"/>
      <c r="C140" s="35"/>
      <c r="D140" s="34"/>
      <c r="E140" s="39">
        <f>IF(A140="","",SUMIFS(Transactions!$H$2:$H$1001,Transactions!$F$2:$F$1001,A140,Transactions!$C$2:$C$1001,"issue",Transactions!$D$2:$D$1001,"&gt;="&amp;(NOW()-30)))</f>
      </c>
      <c r="F140" s="39">
        <f>IF(A140="","",COUNTIFS(Transactions!$F$2:$F$1001,A140,Transactions!$C$2:$C$1001,"loan",Transactions!$D$2:$D$1001,"&gt;="&amp;(NOW()-30)))</f>
      </c>
      <c r="G140" s="39">
        <f>IF(A140="","",COUNTIFS(Transactions!$F$2:$F$1001,A140,Transactions!$C$2:$C$1001,"unfilled",Transactions!$D$2:$D$1001,"&gt;="&amp;(NOW()-30)))</f>
      </c>
      <c r="H140" s="36"/>
    </row>
    <row r="141">
      <c r="A141" s="31"/>
      <c r="B141" s="30"/>
      <c r="C141" s="35"/>
      <c r="D141" s="34"/>
      <c r="E141" s="39">
        <f>IF(A141="","",SUMIFS(Transactions!$H$2:$H$1001,Transactions!$F$2:$F$1001,A141,Transactions!$C$2:$C$1001,"issue",Transactions!$D$2:$D$1001,"&gt;="&amp;(NOW()-30)))</f>
      </c>
      <c r="F141" s="39">
        <f>IF(A141="","",COUNTIFS(Transactions!$F$2:$F$1001,A141,Transactions!$C$2:$C$1001,"loan",Transactions!$D$2:$D$1001,"&gt;="&amp;(NOW()-30)))</f>
      </c>
      <c r="G141" s="39">
        <f>IF(A141="","",COUNTIFS(Transactions!$F$2:$F$1001,A141,Transactions!$C$2:$C$1001,"unfilled",Transactions!$D$2:$D$1001,"&gt;="&amp;(NOW()-30)))</f>
      </c>
      <c r="H141" s="36"/>
    </row>
    <row r="142">
      <c r="A142" s="31"/>
      <c r="B142" s="30"/>
      <c r="C142" s="35"/>
      <c r="D142" s="34"/>
      <c r="E142" s="39">
        <f>IF(A142="","",SUMIFS(Transactions!$H$2:$H$1001,Transactions!$F$2:$F$1001,A142,Transactions!$C$2:$C$1001,"issue",Transactions!$D$2:$D$1001,"&gt;="&amp;(NOW()-30)))</f>
      </c>
      <c r="F142" s="39">
        <f>IF(A142="","",COUNTIFS(Transactions!$F$2:$F$1001,A142,Transactions!$C$2:$C$1001,"loan",Transactions!$D$2:$D$1001,"&gt;="&amp;(NOW()-30)))</f>
      </c>
      <c r="G142" s="39">
        <f>IF(A142="","",COUNTIFS(Transactions!$F$2:$F$1001,A142,Transactions!$C$2:$C$1001,"unfilled",Transactions!$D$2:$D$1001,"&gt;="&amp;(NOW()-30)))</f>
      </c>
      <c r="H142" s="36"/>
    </row>
    <row r="143">
      <c r="A143" s="31"/>
      <c r="B143" s="30"/>
      <c r="C143" s="35"/>
      <c r="D143" s="34"/>
      <c r="E143" s="39">
        <f>IF(A143="","",SUMIFS(Transactions!$H$2:$H$1001,Transactions!$F$2:$F$1001,A143,Transactions!$C$2:$C$1001,"issue",Transactions!$D$2:$D$1001,"&gt;="&amp;(NOW()-30)))</f>
      </c>
      <c r="F143" s="39">
        <f>IF(A143="","",COUNTIFS(Transactions!$F$2:$F$1001,A143,Transactions!$C$2:$C$1001,"loan",Transactions!$D$2:$D$1001,"&gt;="&amp;(NOW()-30)))</f>
      </c>
      <c r="G143" s="39">
        <f>IF(A143="","",COUNTIFS(Transactions!$F$2:$F$1001,A143,Transactions!$C$2:$C$1001,"unfilled",Transactions!$D$2:$D$1001,"&gt;="&amp;(NOW()-30)))</f>
      </c>
      <c r="H143" s="36"/>
    </row>
    <row r="144">
      <c r="A144" s="31"/>
      <c r="B144" s="30"/>
      <c r="C144" s="35"/>
      <c r="D144" s="34"/>
      <c r="E144" s="39">
        <f>IF(A144="","",SUMIFS(Transactions!$H$2:$H$1001,Transactions!$F$2:$F$1001,A144,Transactions!$C$2:$C$1001,"issue",Transactions!$D$2:$D$1001,"&gt;="&amp;(NOW()-30)))</f>
      </c>
      <c r="F144" s="39">
        <f>IF(A144="","",COUNTIFS(Transactions!$F$2:$F$1001,A144,Transactions!$C$2:$C$1001,"loan",Transactions!$D$2:$D$1001,"&gt;="&amp;(NOW()-30)))</f>
      </c>
      <c r="G144" s="39">
        <f>IF(A144="","",COUNTIFS(Transactions!$F$2:$F$1001,A144,Transactions!$C$2:$C$1001,"unfilled",Transactions!$D$2:$D$1001,"&gt;="&amp;(NOW()-30)))</f>
      </c>
      <c r="H144" s="36"/>
    </row>
    <row r="145">
      <c r="A145" s="31"/>
      <c r="B145" s="30"/>
      <c r="C145" s="35"/>
      <c r="D145" s="34"/>
      <c r="E145" s="39">
        <f>IF(A145="","",SUMIFS(Transactions!$H$2:$H$1001,Transactions!$F$2:$F$1001,A145,Transactions!$C$2:$C$1001,"issue",Transactions!$D$2:$D$1001,"&gt;="&amp;(NOW()-30)))</f>
      </c>
      <c r="F145" s="39">
        <f>IF(A145="","",COUNTIFS(Transactions!$F$2:$F$1001,A145,Transactions!$C$2:$C$1001,"loan",Transactions!$D$2:$D$1001,"&gt;="&amp;(NOW()-30)))</f>
      </c>
      <c r="G145" s="39">
        <f>IF(A145="","",COUNTIFS(Transactions!$F$2:$F$1001,A145,Transactions!$C$2:$C$1001,"unfilled",Transactions!$D$2:$D$1001,"&gt;="&amp;(NOW()-30)))</f>
      </c>
      <c r="H145" s="36"/>
    </row>
    <row r="146">
      <c r="A146" s="31"/>
      <c r="B146" s="30"/>
      <c r="C146" s="35"/>
      <c r="D146" s="34"/>
      <c r="E146" s="39">
        <f>IF(A146="","",SUMIFS(Transactions!$H$2:$H$1001,Transactions!$F$2:$F$1001,A146,Transactions!$C$2:$C$1001,"issue",Transactions!$D$2:$D$1001,"&gt;="&amp;(NOW()-30)))</f>
      </c>
      <c r="F146" s="39">
        <f>IF(A146="","",COUNTIFS(Transactions!$F$2:$F$1001,A146,Transactions!$C$2:$C$1001,"loan",Transactions!$D$2:$D$1001,"&gt;="&amp;(NOW()-30)))</f>
      </c>
      <c r="G146" s="39">
        <f>IF(A146="","",COUNTIFS(Transactions!$F$2:$F$1001,A146,Transactions!$C$2:$C$1001,"unfilled",Transactions!$D$2:$D$1001,"&gt;="&amp;(NOW()-30)))</f>
      </c>
      <c r="H146" s="36"/>
    </row>
    <row r="147">
      <c r="A147" s="31"/>
      <c r="B147" s="30"/>
      <c r="C147" s="35"/>
      <c r="D147" s="34"/>
      <c r="E147" s="39">
        <f>IF(A147="","",SUMIFS(Transactions!$H$2:$H$1001,Transactions!$F$2:$F$1001,A147,Transactions!$C$2:$C$1001,"issue",Transactions!$D$2:$D$1001,"&gt;="&amp;(NOW()-30)))</f>
      </c>
      <c r="F147" s="39">
        <f>IF(A147="","",COUNTIFS(Transactions!$F$2:$F$1001,A147,Transactions!$C$2:$C$1001,"loan",Transactions!$D$2:$D$1001,"&gt;="&amp;(NOW()-30)))</f>
      </c>
      <c r="G147" s="39">
        <f>IF(A147="","",COUNTIFS(Transactions!$F$2:$F$1001,A147,Transactions!$C$2:$C$1001,"unfilled",Transactions!$D$2:$D$1001,"&gt;="&amp;(NOW()-30)))</f>
      </c>
      <c r="H147" s="36"/>
    </row>
    <row r="148">
      <c r="A148" s="31"/>
      <c r="B148" s="30"/>
      <c r="C148" s="35"/>
      <c r="D148" s="34"/>
      <c r="E148" s="39">
        <f>IF(A148="","",SUMIFS(Transactions!$H$2:$H$1001,Transactions!$F$2:$F$1001,A148,Transactions!$C$2:$C$1001,"issue",Transactions!$D$2:$D$1001,"&gt;="&amp;(NOW()-30)))</f>
      </c>
      <c r="F148" s="39">
        <f>IF(A148="","",COUNTIFS(Transactions!$F$2:$F$1001,A148,Transactions!$C$2:$C$1001,"loan",Transactions!$D$2:$D$1001,"&gt;="&amp;(NOW()-30)))</f>
      </c>
      <c r="G148" s="39">
        <f>IF(A148="","",COUNTIFS(Transactions!$F$2:$F$1001,A148,Transactions!$C$2:$C$1001,"unfilled",Transactions!$D$2:$D$1001,"&gt;="&amp;(NOW()-30)))</f>
      </c>
      <c r="H148" s="36"/>
    </row>
    <row r="149">
      <c r="A149" s="31"/>
      <c r="B149" s="30"/>
      <c r="C149" s="35"/>
      <c r="D149" s="34"/>
      <c r="E149" s="39">
        <f>IF(A149="","",SUMIFS(Transactions!$H$2:$H$1001,Transactions!$F$2:$F$1001,A149,Transactions!$C$2:$C$1001,"issue",Transactions!$D$2:$D$1001,"&gt;="&amp;(NOW()-30)))</f>
      </c>
      <c r="F149" s="39">
        <f>IF(A149="","",COUNTIFS(Transactions!$F$2:$F$1001,A149,Transactions!$C$2:$C$1001,"loan",Transactions!$D$2:$D$1001,"&gt;="&amp;(NOW()-30)))</f>
      </c>
      <c r="G149" s="39">
        <f>IF(A149="","",COUNTIFS(Transactions!$F$2:$F$1001,A149,Transactions!$C$2:$C$1001,"unfilled",Transactions!$D$2:$D$1001,"&gt;="&amp;(NOW()-30)))</f>
      </c>
      <c r="H149" s="36"/>
    </row>
    <row r="150">
      <c r="A150" s="31"/>
      <c r="B150" s="30"/>
      <c r="C150" s="35"/>
      <c r="D150" s="34"/>
      <c r="E150" s="39">
        <f>IF(A150="","",SUMIFS(Transactions!$H$2:$H$1001,Transactions!$F$2:$F$1001,A150,Transactions!$C$2:$C$1001,"issue",Transactions!$D$2:$D$1001,"&gt;="&amp;(NOW()-30)))</f>
      </c>
      <c r="F150" s="39">
        <f>IF(A150="","",COUNTIFS(Transactions!$F$2:$F$1001,A150,Transactions!$C$2:$C$1001,"loan",Transactions!$D$2:$D$1001,"&gt;="&amp;(NOW()-30)))</f>
      </c>
      <c r="G150" s="39">
        <f>IF(A150="","",COUNTIFS(Transactions!$F$2:$F$1001,A150,Transactions!$C$2:$C$1001,"unfilled",Transactions!$D$2:$D$1001,"&gt;="&amp;(NOW()-30)))</f>
      </c>
      <c r="H150" s="36"/>
    </row>
    <row r="151">
      <c r="A151" s="31"/>
      <c r="B151" s="30"/>
      <c r="C151" s="35"/>
      <c r="D151" s="34"/>
      <c r="E151" s="39">
        <f>IF(A151="","",SUMIFS(Transactions!$H$2:$H$1001,Transactions!$F$2:$F$1001,A151,Transactions!$C$2:$C$1001,"issue",Transactions!$D$2:$D$1001,"&gt;="&amp;(NOW()-30)))</f>
      </c>
      <c r="F151" s="39">
        <f>IF(A151="","",COUNTIFS(Transactions!$F$2:$F$1001,A151,Transactions!$C$2:$C$1001,"loan",Transactions!$D$2:$D$1001,"&gt;="&amp;(NOW()-30)))</f>
      </c>
      <c r="G151" s="39">
        <f>IF(A151="","",COUNTIFS(Transactions!$F$2:$F$1001,A151,Transactions!$C$2:$C$1001,"unfilled",Transactions!$D$2:$D$1001,"&gt;="&amp;(NOW()-30)))</f>
      </c>
      <c r="H151" s="36"/>
    </row>
    <row r="152">
      <c r="A152" s="31"/>
      <c r="B152" s="30"/>
      <c r="C152" s="35"/>
      <c r="D152" s="34"/>
      <c r="E152" s="39">
        <f>IF(A152="","",SUMIFS(Transactions!$H$2:$H$1001,Transactions!$F$2:$F$1001,A152,Transactions!$C$2:$C$1001,"issue",Transactions!$D$2:$D$1001,"&gt;="&amp;(NOW()-30)))</f>
      </c>
      <c r="F152" s="39">
        <f>IF(A152="","",COUNTIFS(Transactions!$F$2:$F$1001,A152,Transactions!$C$2:$C$1001,"loan",Transactions!$D$2:$D$1001,"&gt;="&amp;(NOW()-30)))</f>
      </c>
      <c r="G152" s="39">
        <f>IF(A152="","",COUNTIFS(Transactions!$F$2:$F$1001,A152,Transactions!$C$2:$C$1001,"unfilled",Transactions!$D$2:$D$1001,"&gt;="&amp;(NOW()-30)))</f>
      </c>
      <c r="H152" s="36"/>
    </row>
    <row r="153">
      <c r="A153" s="31"/>
      <c r="B153" s="30"/>
      <c r="C153" s="35"/>
      <c r="D153" s="34"/>
      <c r="E153" s="39">
        <f>IF(A153="","",SUMIFS(Transactions!$H$2:$H$1001,Transactions!$F$2:$F$1001,A153,Transactions!$C$2:$C$1001,"issue",Transactions!$D$2:$D$1001,"&gt;="&amp;(NOW()-30)))</f>
      </c>
      <c r="F153" s="39">
        <f>IF(A153="","",COUNTIFS(Transactions!$F$2:$F$1001,A153,Transactions!$C$2:$C$1001,"loan",Transactions!$D$2:$D$1001,"&gt;="&amp;(NOW()-30)))</f>
      </c>
      <c r="G153" s="39">
        <f>IF(A153="","",COUNTIFS(Transactions!$F$2:$F$1001,A153,Transactions!$C$2:$C$1001,"unfilled",Transactions!$D$2:$D$1001,"&gt;="&amp;(NOW()-30)))</f>
      </c>
      <c r="H153" s="36"/>
    </row>
    <row r="154">
      <c r="A154" s="31"/>
      <c r="B154" s="30"/>
      <c r="C154" s="35"/>
      <c r="D154" s="34"/>
      <c r="E154" s="39">
        <f>IF(A154="","",SUMIFS(Transactions!$H$2:$H$1001,Transactions!$F$2:$F$1001,A154,Transactions!$C$2:$C$1001,"issue",Transactions!$D$2:$D$1001,"&gt;="&amp;(NOW()-30)))</f>
      </c>
      <c r="F154" s="39">
        <f>IF(A154="","",COUNTIFS(Transactions!$F$2:$F$1001,A154,Transactions!$C$2:$C$1001,"loan",Transactions!$D$2:$D$1001,"&gt;="&amp;(NOW()-30)))</f>
      </c>
      <c r="G154" s="39">
        <f>IF(A154="","",COUNTIFS(Transactions!$F$2:$F$1001,A154,Transactions!$C$2:$C$1001,"unfilled",Transactions!$D$2:$D$1001,"&gt;="&amp;(NOW()-30)))</f>
      </c>
      <c r="H154" s="36"/>
    </row>
    <row r="155">
      <c r="A155" s="31"/>
      <c r="B155" s="30"/>
      <c r="C155" s="35"/>
      <c r="D155" s="34"/>
      <c r="E155" s="39">
        <f>IF(A155="","",SUMIFS(Transactions!$H$2:$H$1001,Transactions!$F$2:$F$1001,A155,Transactions!$C$2:$C$1001,"issue",Transactions!$D$2:$D$1001,"&gt;="&amp;(NOW()-30)))</f>
      </c>
      <c r="F155" s="39">
        <f>IF(A155="","",COUNTIFS(Transactions!$F$2:$F$1001,A155,Transactions!$C$2:$C$1001,"loan",Transactions!$D$2:$D$1001,"&gt;="&amp;(NOW()-30)))</f>
      </c>
      <c r="G155" s="39">
        <f>IF(A155="","",COUNTIFS(Transactions!$F$2:$F$1001,A155,Transactions!$C$2:$C$1001,"unfilled",Transactions!$D$2:$D$1001,"&gt;="&amp;(NOW()-30)))</f>
      </c>
      <c r="H155" s="36"/>
    </row>
    <row r="156">
      <c r="A156" s="31"/>
      <c r="B156" s="30"/>
      <c r="C156" s="35"/>
      <c r="D156" s="34"/>
      <c r="E156" s="39">
        <f>IF(A156="","",SUMIFS(Transactions!$H$2:$H$1001,Transactions!$F$2:$F$1001,A156,Transactions!$C$2:$C$1001,"issue",Transactions!$D$2:$D$1001,"&gt;="&amp;(NOW()-30)))</f>
      </c>
      <c r="F156" s="39">
        <f>IF(A156="","",COUNTIFS(Transactions!$F$2:$F$1001,A156,Transactions!$C$2:$C$1001,"loan",Transactions!$D$2:$D$1001,"&gt;="&amp;(NOW()-30)))</f>
      </c>
      <c r="G156" s="39">
        <f>IF(A156="","",COUNTIFS(Transactions!$F$2:$F$1001,A156,Transactions!$C$2:$C$1001,"unfilled",Transactions!$D$2:$D$1001,"&gt;="&amp;(NOW()-30)))</f>
      </c>
      <c r="H156" s="36"/>
    </row>
    <row r="157">
      <c r="A157" s="31"/>
      <c r="B157" s="30"/>
      <c r="C157" s="35"/>
      <c r="D157" s="34"/>
      <c r="E157" s="39">
        <f>IF(A157="","",SUMIFS(Transactions!$H$2:$H$1001,Transactions!$F$2:$F$1001,A157,Transactions!$C$2:$C$1001,"issue",Transactions!$D$2:$D$1001,"&gt;="&amp;(NOW()-30)))</f>
      </c>
      <c r="F157" s="39">
        <f>IF(A157="","",COUNTIFS(Transactions!$F$2:$F$1001,A157,Transactions!$C$2:$C$1001,"loan",Transactions!$D$2:$D$1001,"&gt;="&amp;(NOW()-30)))</f>
      </c>
      <c r="G157" s="39">
        <f>IF(A157="","",COUNTIFS(Transactions!$F$2:$F$1001,A157,Transactions!$C$2:$C$1001,"unfilled",Transactions!$D$2:$D$1001,"&gt;="&amp;(NOW()-30)))</f>
      </c>
      <c r="H157" s="36"/>
    </row>
    <row r="158">
      <c r="A158" s="31"/>
      <c r="B158" s="30"/>
      <c r="C158" s="35"/>
      <c r="D158" s="34"/>
      <c r="E158" s="39">
        <f>IF(A158="","",SUMIFS(Transactions!$H$2:$H$1001,Transactions!$F$2:$F$1001,A158,Transactions!$C$2:$C$1001,"issue",Transactions!$D$2:$D$1001,"&gt;="&amp;(NOW()-30)))</f>
      </c>
      <c r="F158" s="39">
        <f>IF(A158="","",COUNTIFS(Transactions!$F$2:$F$1001,A158,Transactions!$C$2:$C$1001,"loan",Transactions!$D$2:$D$1001,"&gt;="&amp;(NOW()-30)))</f>
      </c>
      <c r="G158" s="39">
        <f>IF(A158="","",COUNTIFS(Transactions!$F$2:$F$1001,A158,Transactions!$C$2:$C$1001,"unfilled",Transactions!$D$2:$D$1001,"&gt;="&amp;(NOW()-30)))</f>
      </c>
      <c r="H158" s="36"/>
    </row>
    <row r="159">
      <c r="A159" s="31"/>
      <c r="B159" s="30"/>
      <c r="C159" s="35"/>
      <c r="D159" s="34"/>
      <c r="E159" s="39">
        <f>IF(A159="","",SUMIFS(Transactions!$H$2:$H$1001,Transactions!$F$2:$F$1001,A159,Transactions!$C$2:$C$1001,"issue",Transactions!$D$2:$D$1001,"&gt;="&amp;(NOW()-30)))</f>
      </c>
      <c r="F159" s="39">
        <f>IF(A159="","",COUNTIFS(Transactions!$F$2:$F$1001,A159,Transactions!$C$2:$C$1001,"loan",Transactions!$D$2:$D$1001,"&gt;="&amp;(NOW()-30)))</f>
      </c>
      <c r="G159" s="39">
        <f>IF(A159="","",COUNTIFS(Transactions!$F$2:$F$1001,A159,Transactions!$C$2:$C$1001,"unfilled",Transactions!$D$2:$D$1001,"&gt;="&amp;(NOW()-30)))</f>
      </c>
      <c r="H159" s="36"/>
    </row>
    <row r="160">
      <c r="A160" s="31"/>
      <c r="B160" s="30"/>
      <c r="C160" s="35"/>
      <c r="D160" s="34"/>
      <c r="E160" s="39">
        <f>IF(A160="","",SUMIFS(Transactions!$H$2:$H$1001,Transactions!$F$2:$F$1001,A160,Transactions!$C$2:$C$1001,"issue",Transactions!$D$2:$D$1001,"&gt;="&amp;(NOW()-30)))</f>
      </c>
      <c r="F160" s="39">
        <f>IF(A160="","",COUNTIFS(Transactions!$F$2:$F$1001,A160,Transactions!$C$2:$C$1001,"loan",Transactions!$D$2:$D$1001,"&gt;="&amp;(NOW()-30)))</f>
      </c>
      <c r="G160" s="39">
        <f>IF(A160="","",COUNTIFS(Transactions!$F$2:$F$1001,A160,Transactions!$C$2:$C$1001,"unfilled",Transactions!$D$2:$D$1001,"&gt;="&amp;(NOW()-30)))</f>
      </c>
      <c r="H160" s="36"/>
    </row>
    <row r="161">
      <c r="A161" s="31"/>
      <c r="B161" s="30"/>
      <c r="C161" s="35"/>
      <c r="D161" s="34"/>
      <c r="E161" s="39">
        <f>IF(A161="","",SUMIFS(Transactions!$H$2:$H$1001,Transactions!$F$2:$F$1001,A161,Transactions!$C$2:$C$1001,"issue",Transactions!$D$2:$D$1001,"&gt;="&amp;(NOW()-30)))</f>
      </c>
      <c r="F161" s="39">
        <f>IF(A161="","",COUNTIFS(Transactions!$F$2:$F$1001,A161,Transactions!$C$2:$C$1001,"loan",Transactions!$D$2:$D$1001,"&gt;="&amp;(NOW()-30)))</f>
      </c>
      <c r="G161" s="39">
        <f>IF(A161="","",COUNTIFS(Transactions!$F$2:$F$1001,A161,Transactions!$C$2:$C$1001,"unfilled",Transactions!$D$2:$D$1001,"&gt;="&amp;(NOW()-30)))</f>
      </c>
      <c r="H161" s="36"/>
    </row>
    <row r="162">
      <c r="A162" s="31"/>
      <c r="B162" s="30"/>
      <c r="C162" s="35"/>
      <c r="D162" s="34"/>
      <c r="E162" s="39">
        <f>IF(A162="","",SUMIFS(Transactions!$H$2:$H$1001,Transactions!$F$2:$F$1001,A162,Transactions!$C$2:$C$1001,"issue",Transactions!$D$2:$D$1001,"&gt;="&amp;(NOW()-30)))</f>
      </c>
      <c r="F162" s="39">
        <f>IF(A162="","",COUNTIFS(Transactions!$F$2:$F$1001,A162,Transactions!$C$2:$C$1001,"loan",Transactions!$D$2:$D$1001,"&gt;="&amp;(NOW()-30)))</f>
      </c>
      <c r="G162" s="39">
        <f>IF(A162="","",COUNTIFS(Transactions!$F$2:$F$1001,A162,Transactions!$C$2:$C$1001,"unfilled",Transactions!$D$2:$D$1001,"&gt;="&amp;(NOW()-30)))</f>
      </c>
      <c r="H162" s="36"/>
    </row>
    <row r="163">
      <c r="A163" s="31"/>
      <c r="B163" s="30"/>
      <c r="C163" s="35"/>
      <c r="D163" s="34"/>
      <c r="E163" s="39">
        <f>IF(A163="","",SUMIFS(Transactions!$H$2:$H$1001,Transactions!$F$2:$F$1001,A163,Transactions!$C$2:$C$1001,"issue",Transactions!$D$2:$D$1001,"&gt;="&amp;(NOW()-30)))</f>
      </c>
      <c r="F163" s="39">
        <f>IF(A163="","",COUNTIFS(Transactions!$F$2:$F$1001,A163,Transactions!$C$2:$C$1001,"loan",Transactions!$D$2:$D$1001,"&gt;="&amp;(NOW()-30)))</f>
      </c>
      <c r="G163" s="39">
        <f>IF(A163="","",COUNTIFS(Transactions!$F$2:$F$1001,A163,Transactions!$C$2:$C$1001,"unfilled",Transactions!$D$2:$D$1001,"&gt;="&amp;(NOW()-30)))</f>
      </c>
      <c r="H163" s="36"/>
    </row>
    <row r="164">
      <c r="A164" s="31"/>
      <c r="B164" s="30"/>
      <c r="C164" s="35"/>
      <c r="D164" s="34"/>
      <c r="E164" s="39">
        <f>IF(A164="","",SUMIFS(Transactions!$H$2:$H$1001,Transactions!$F$2:$F$1001,A164,Transactions!$C$2:$C$1001,"issue",Transactions!$D$2:$D$1001,"&gt;="&amp;(NOW()-30)))</f>
      </c>
      <c r="F164" s="39">
        <f>IF(A164="","",COUNTIFS(Transactions!$F$2:$F$1001,A164,Transactions!$C$2:$C$1001,"loan",Transactions!$D$2:$D$1001,"&gt;="&amp;(NOW()-30)))</f>
      </c>
      <c r="G164" s="39">
        <f>IF(A164="","",COUNTIFS(Transactions!$F$2:$F$1001,A164,Transactions!$C$2:$C$1001,"unfilled",Transactions!$D$2:$D$1001,"&gt;="&amp;(NOW()-30)))</f>
      </c>
      <c r="H164" s="36"/>
    </row>
    <row r="165">
      <c r="A165" s="31"/>
      <c r="B165" s="30"/>
      <c r="C165" s="35"/>
      <c r="D165" s="34"/>
      <c r="E165" s="39">
        <f>IF(A165="","",SUMIFS(Transactions!$H$2:$H$1001,Transactions!$F$2:$F$1001,A165,Transactions!$C$2:$C$1001,"issue",Transactions!$D$2:$D$1001,"&gt;="&amp;(NOW()-30)))</f>
      </c>
      <c r="F165" s="39">
        <f>IF(A165="","",COUNTIFS(Transactions!$F$2:$F$1001,A165,Transactions!$C$2:$C$1001,"loan",Transactions!$D$2:$D$1001,"&gt;="&amp;(NOW()-30)))</f>
      </c>
      <c r="G165" s="39">
        <f>IF(A165="","",COUNTIFS(Transactions!$F$2:$F$1001,A165,Transactions!$C$2:$C$1001,"unfilled",Transactions!$D$2:$D$1001,"&gt;="&amp;(NOW()-30)))</f>
      </c>
      <c r="H165" s="36"/>
    </row>
    <row r="166">
      <c r="A166" s="31"/>
      <c r="B166" s="30"/>
      <c r="C166" s="35"/>
      <c r="D166" s="34"/>
      <c r="E166" s="39">
        <f>IF(A166="","",SUMIFS(Transactions!$H$2:$H$1001,Transactions!$F$2:$F$1001,A166,Transactions!$C$2:$C$1001,"issue",Transactions!$D$2:$D$1001,"&gt;="&amp;(NOW()-30)))</f>
      </c>
      <c r="F166" s="39">
        <f>IF(A166="","",COUNTIFS(Transactions!$F$2:$F$1001,A166,Transactions!$C$2:$C$1001,"loan",Transactions!$D$2:$D$1001,"&gt;="&amp;(NOW()-30)))</f>
      </c>
      <c r="G166" s="39">
        <f>IF(A166="","",COUNTIFS(Transactions!$F$2:$F$1001,A166,Transactions!$C$2:$C$1001,"unfilled",Transactions!$D$2:$D$1001,"&gt;="&amp;(NOW()-30)))</f>
      </c>
      <c r="H166" s="36"/>
    </row>
    <row r="167">
      <c r="A167" s="31"/>
      <c r="B167" s="30"/>
      <c r="C167" s="35"/>
      <c r="D167" s="34"/>
      <c r="E167" s="39">
        <f>IF(A167="","",SUMIFS(Transactions!$H$2:$H$1001,Transactions!$F$2:$F$1001,A167,Transactions!$C$2:$C$1001,"issue",Transactions!$D$2:$D$1001,"&gt;="&amp;(NOW()-30)))</f>
      </c>
      <c r="F167" s="39">
        <f>IF(A167="","",COUNTIFS(Transactions!$F$2:$F$1001,A167,Transactions!$C$2:$C$1001,"loan",Transactions!$D$2:$D$1001,"&gt;="&amp;(NOW()-30)))</f>
      </c>
      <c r="G167" s="39">
        <f>IF(A167="","",COUNTIFS(Transactions!$F$2:$F$1001,A167,Transactions!$C$2:$C$1001,"unfilled",Transactions!$D$2:$D$1001,"&gt;="&amp;(NOW()-30)))</f>
      </c>
      <c r="H167" s="36"/>
    </row>
    <row r="168">
      <c r="A168" s="31"/>
      <c r="B168" s="30"/>
      <c r="C168" s="35"/>
      <c r="D168" s="34"/>
      <c r="E168" s="39">
        <f>IF(A168="","",SUMIFS(Transactions!$H$2:$H$1001,Transactions!$F$2:$F$1001,A168,Transactions!$C$2:$C$1001,"issue",Transactions!$D$2:$D$1001,"&gt;="&amp;(NOW()-30)))</f>
      </c>
      <c r="F168" s="39">
        <f>IF(A168="","",COUNTIFS(Transactions!$F$2:$F$1001,A168,Transactions!$C$2:$C$1001,"loan",Transactions!$D$2:$D$1001,"&gt;="&amp;(NOW()-30)))</f>
      </c>
      <c r="G168" s="39">
        <f>IF(A168="","",COUNTIFS(Transactions!$F$2:$F$1001,A168,Transactions!$C$2:$C$1001,"unfilled",Transactions!$D$2:$D$1001,"&gt;="&amp;(NOW()-30)))</f>
      </c>
      <c r="H168" s="36"/>
    </row>
    <row r="169">
      <c r="A169" s="31"/>
      <c r="B169" s="30"/>
      <c r="C169" s="35"/>
      <c r="D169" s="34"/>
      <c r="E169" s="39">
        <f>IF(A169="","",SUMIFS(Transactions!$H$2:$H$1001,Transactions!$F$2:$F$1001,A169,Transactions!$C$2:$C$1001,"issue",Transactions!$D$2:$D$1001,"&gt;="&amp;(NOW()-30)))</f>
      </c>
      <c r="F169" s="39">
        <f>IF(A169="","",COUNTIFS(Transactions!$F$2:$F$1001,A169,Transactions!$C$2:$C$1001,"loan",Transactions!$D$2:$D$1001,"&gt;="&amp;(NOW()-30)))</f>
      </c>
      <c r="G169" s="39">
        <f>IF(A169="","",COUNTIFS(Transactions!$F$2:$F$1001,A169,Transactions!$C$2:$C$1001,"unfilled",Transactions!$D$2:$D$1001,"&gt;="&amp;(NOW()-30)))</f>
      </c>
      <c r="H169" s="36"/>
    </row>
    <row r="170">
      <c r="A170" s="31"/>
      <c r="B170" s="30"/>
      <c r="C170" s="35"/>
      <c r="D170" s="34"/>
      <c r="E170" s="39">
        <f>IF(A170="","",SUMIFS(Transactions!$H$2:$H$1001,Transactions!$F$2:$F$1001,A170,Transactions!$C$2:$C$1001,"issue",Transactions!$D$2:$D$1001,"&gt;="&amp;(NOW()-30)))</f>
      </c>
      <c r="F170" s="39">
        <f>IF(A170="","",COUNTIFS(Transactions!$F$2:$F$1001,A170,Transactions!$C$2:$C$1001,"loan",Transactions!$D$2:$D$1001,"&gt;="&amp;(NOW()-30)))</f>
      </c>
      <c r="G170" s="39">
        <f>IF(A170="","",COUNTIFS(Transactions!$F$2:$F$1001,A170,Transactions!$C$2:$C$1001,"unfilled",Transactions!$D$2:$D$1001,"&gt;="&amp;(NOW()-30)))</f>
      </c>
      <c r="H170" s="36"/>
    </row>
    <row r="171">
      <c r="A171" s="31"/>
      <c r="B171" s="30"/>
      <c r="C171" s="35"/>
      <c r="D171" s="34"/>
      <c r="E171" s="39">
        <f>IF(A171="","",SUMIFS(Transactions!$H$2:$H$1001,Transactions!$F$2:$F$1001,A171,Transactions!$C$2:$C$1001,"issue",Transactions!$D$2:$D$1001,"&gt;="&amp;(NOW()-30)))</f>
      </c>
      <c r="F171" s="39">
        <f>IF(A171="","",COUNTIFS(Transactions!$F$2:$F$1001,A171,Transactions!$C$2:$C$1001,"loan",Transactions!$D$2:$D$1001,"&gt;="&amp;(NOW()-30)))</f>
      </c>
      <c r="G171" s="39">
        <f>IF(A171="","",COUNTIFS(Transactions!$F$2:$F$1001,A171,Transactions!$C$2:$C$1001,"unfilled",Transactions!$D$2:$D$1001,"&gt;="&amp;(NOW()-30)))</f>
      </c>
      <c r="H171" s="36"/>
    </row>
    <row r="172">
      <c r="A172" s="31"/>
      <c r="B172" s="30"/>
      <c r="C172" s="35"/>
      <c r="D172" s="34"/>
      <c r="E172" s="39">
        <f>IF(A172="","",SUMIFS(Transactions!$H$2:$H$1001,Transactions!$F$2:$F$1001,A172,Transactions!$C$2:$C$1001,"issue",Transactions!$D$2:$D$1001,"&gt;="&amp;(NOW()-30)))</f>
      </c>
      <c r="F172" s="39">
        <f>IF(A172="","",COUNTIFS(Transactions!$F$2:$F$1001,A172,Transactions!$C$2:$C$1001,"loan",Transactions!$D$2:$D$1001,"&gt;="&amp;(NOW()-30)))</f>
      </c>
      <c r="G172" s="39">
        <f>IF(A172="","",COUNTIFS(Transactions!$F$2:$F$1001,A172,Transactions!$C$2:$C$1001,"unfilled",Transactions!$D$2:$D$1001,"&gt;="&amp;(NOW()-30)))</f>
      </c>
      <c r="H172" s="36"/>
    </row>
    <row r="173">
      <c r="A173" s="31"/>
      <c r="B173" s="30"/>
      <c r="C173" s="35"/>
      <c r="D173" s="34"/>
      <c r="E173" s="39">
        <f>IF(A173="","",SUMIFS(Transactions!$H$2:$H$1001,Transactions!$F$2:$F$1001,A173,Transactions!$C$2:$C$1001,"issue",Transactions!$D$2:$D$1001,"&gt;="&amp;(NOW()-30)))</f>
      </c>
      <c r="F173" s="39">
        <f>IF(A173="","",COUNTIFS(Transactions!$F$2:$F$1001,A173,Transactions!$C$2:$C$1001,"loan",Transactions!$D$2:$D$1001,"&gt;="&amp;(NOW()-30)))</f>
      </c>
      <c r="G173" s="39">
        <f>IF(A173="","",COUNTIFS(Transactions!$F$2:$F$1001,A173,Transactions!$C$2:$C$1001,"unfilled",Transactions!$D$2:$D$1001,"&gt;="&amp;(NOW()-30)))</f>
      </c>
      <c r="H173" s="36"/>
    </row>
    <row r="174">
      <c r="A174" s="31"/>
      <c r="B174" s="30"/>
      <c r="C174" s="35"/>
      <c r="D174" s="34"/>
      <c r="E174" s="39">
        <f>IF(A174="","",SUMIFS(Transactions!$H$2:$H$1001,Transactions!$F$2:$F$1001,A174,Transactions!$C$2:$C$1001,"issue",Transactions!$D$2:$D$1001,"&gt;="&amp;(NOW()-30)))</f>
      </c>
      <c r="F174" s="39">
        <f>IF(A174="","",COUNTIFS(Transactions!$F$2:$F$1001,A174,Transactions!$C$2:$C$1001,"loan",Transactions!$D$2:$D$1001,"&gt;="&amp;(NOW()-30)))</f>
      </c>
      <c r="G174" s="39">
        <f>IF(A174="","",COUNTIFS(Transactions!$F$2:$F$1001,A174,Transactions!$C$2:$C$1001,"unfilled",Transactions!$D$2:$D$1001,"&gt;="&amp;(NOW()-30)))</f>
      </c>
      <c r="H174" s="36"/>
    </row>
    <row r="175">
      <c r="A175" s="31"/>
      <c r="B175" s="30"/>
      <c r="C175" s="35"/>
      <c r="D175" s="34"/>
      <c r="E175" s="39">
        <f>IF(A175="","",SUMIFS(Transactions!$H$2:$H$1001,Transactions!$F$2:$F$1001,A175,Transactions!$C$2:$C$1001,"issue",Transactions!$D$2:$D$1001,"&gt;="&amp;(NOW()-30)))</f>
      </c>
      <c r="F175" s="39">
        <f>IF(A175="","",COUNTIFS(Transactions!$F$2:$F$1001,A175,Transactions!$C$2:$C$1001,"loan",Transactions!$D$2:$D$1001,"&gt;="&amp;(NOW()-30)))</f>
      </c>
      <c r="G175" s="39">
        <f>IF(A175="","",COUNTIFS(Transactions!$F$2:$F$1001,A175,Transactions!$C$2:$C$1001,"unfilled",Transactions!$D$2:$D$1001,"&gt;="&amp;(NOW()-30)))</f>
      </c>
      <c r="H175" s="36"/>
    </row>
    <row r="176">
      <c r="A176" s="31"/>
      <c r="B176" s="30"/>
      <c r="C176" s="35"/>
      <c r="D176" s="34"/>
      <c r="E176" s="39">
        <f>IF(A176="","",SUMIFS(Transactions!$H$2:$H$1001,Transactions!$F$2:$F$1001,A176,Transactions!$C$2:$C$1001,"issue",Transactions!$D$2:$D$1001,"&gt;="&amp;(NOW()-30)))</f>
      </c>
      <c r="F176" s="39">
        <f>IF(A176="","",COUNTIFS(Transactions!$F$2:$F$1001,A176,Transactions!$C$2:$C$1001,"loan",Transactions!$D$2:$D$1001,"&gt;="&amp;(NOW()-30)))</f>
      </c>
      <c r="G176" s="39">
        <f>IF(A176="","",COUNTIFS(Transactions!$F$2:$F$1001,A176,Transactions!$C$2:$C$1001,"unfilled",Transactions!$D$2:$D$1001,"&gt;="&amp;(NOW()-30)))</f>
      </c>
      <c r="H176" s="36"/>
    </row>
    <row r="177">
      <c r="A177" s="31"/>
      <c r="B177" s="30"/>
      <c r="C177" s="35"/>
      <c r="D177" s="34"/>
      <c r="E177" s="39">
        <f>IF(A177="","",SUMIFS(Transactions!$H$2:$H$1001,Transactions!$F$2:$F$1001,A177,Transactions!$C$2:$C$1001,"issue",Transactions!$D$2:$D$1001,"&gt;="&amp;(NOW()-30)))</f>
      </c>
      <c r="F177" s="39">
        <f>IF(A177="","",COUNTIFS(Transactions!$F$2:$F$1001,A177,Transactions!$C$2:$C$1001,"loan",Transactions!$D$2:$D$1001,"&gt;="&amp;(NOW()-30)))</f>
      </c>
      <c r="G177" s="39">
        <f>IF(A177="","",COUNTIFS(Transactions!$F$2:$F$1001,A177,Transactions!$C$2:$C$1001,"unfilled",Transactions!$D$2:$D$1001,"&gt;="&amp;(NOW()-30)))</f>
      </c>
      <c r="H177" s="36"/>
    </row>
    <row r="178">
      <c r="A178" s="31"/>
      <c r="B178" s="30"/>
      <c r="C178" s="35"/>
      <c r="D178" s="34"/>
      <c r="E178" s="39">
        <f>IF(A178="","",SUMIFS(Transactions!$H$2:$H$1001,Transactions!$F$2:$F$1001,A178,Transactions!$C$2:$C$1001,"issue",Transactions!$D$2:$D$1001,"&gt;="&amp;(NOW()-30)))</f>
      </c>
      <c r="F178" s="39">
        <f>IF(A178="","",COUNTIFS(Transactions!$F$2:$F$1001,A178,Transactions!$C$2:$C$1001,"loan",Transactions!$D$2:$D$1001,"&gt;="&amp;(NOW()-30)))</f>
      </c>
      <c r="G178" s="39">
        <f>IF(A178="","",COUNTIFS(Transactions!$F$2:$F$1001,A178,Transactions!$C$2:$C$1001,"unfilled",Transactions!$D$2:$D$1001,"&gt;="&amp;(NOW()-30)))</f>
      </c>
      <c r="H178" s="36"/>
    </row>
    <row r="179">
      <c r="A179" s="31"/>
      <c r="B179" s="30"/>
      <c r="C179" s="35"/>
      <c r="D179" s="34"/>
      <c r="E179" s="39">
        <f>IF(A179="","",SUMIFS(Transactions!$H$2:$H$1001,Transactions!$F$2:$F$1001,A179,Transactions!$C$2:$C$1001,"issue",Transactions!$D$2:$D$1001,"&gt;="&amp;(NOW()-30)))</f>
      </c>
      <c r="F179" s="39">
        <f>IF(A179="","",COUNTIFS(Transactions!$F$2:$F$1001,A179,Transactions!$C$2:$C$1001,"loan",Transactions!$D$2:$D$1001,"&gt;="&amp;(NOW()-30)))</f>
      </c>
      <c r="G179" s="39">
        <f>IF(A179="","",COUNTIFS(Transactions!$F$2:$F$1001,A179,Transactions!$C$2:$C$1001,"unfilled",Transactions!$D$2:$D$1001,"&gt;="&amp;(NOW()-30)))</f>
      </c>
      <c r="H179" s="36"/>
    </row>
    <row r="180">
      <c r="A180" s="31"/>
      <c r="B180" s="30"/>
      <c r="C180" s="35"/>
      <c r="D180" s="34"/>
      <c r="E180" s="39">
        <f>IF(A180="","",SUMIFS(Transactions!$H$2:$H$1001,Transactions!$F$2:$F$1001,A180,Transactions!$C$2:$C$1001,"issue",Transactions!$D$2:$D$1001,"&gt;="&amp;(NOW()-30)))</f>
      </c>
      <c r="F180" s="39">
        <f>IF(A180="","",COUNTIFS(Transactions!$F$2:$F$1001,A180,Transactions!$C$2:$C$1001,"loan",Transactions!$D$2:$D$1001,"&gt;="&amp;(NOW()-30)))</f>
      </c>
      <c r="G180" s="39">
        <f>IF(A180="","",COUNTIFS(Transactions!$F$2:$F$1001,A180,Transactions!$C$2:$C$1001,"unfilled",Transactions!$D$2:$D$1001,"&gt;="&amp;(NOW()-30)))</f>
      </c>
      <c r="H180" s="36"/>
    </row>
    <row r="181">
      <c r="A181" s="31"/>
      <c r="B181" s="30"/>
      <c r="C181" s="35"/>
      <c r="D181" s="34"/>
      <c r="E181" s="39">
        <f>IF(A181="","",SUMIFS(Transactions!$H$2:$H$1001,Transactions!$F$2:$F$1001,A181,Transactions!$C$2:$C$1001,"issue",Transactions!$D$2:$D$1001,"&gt;="&amp;(NOW()-30)))</f>
      </c>
      <c r="F181" s="39">
        <f>IF(A181="","",COUNTIFS(Transactions!$F$2:$F$1001,A181,Transactions!$C$2:$C$1001,"loan",Transactions!$D$2:$D$1001,"&gt;="&amp;(NOW()-30)))</f>
      </c>
      <c r="G181" s="39">
        <f>IF(A181="","",COUNTIFS(Transactions!$F$2:$F$1001,A181,Transactions!$C$2:$C$1001,"unfilled",Transactions!$D$2:$D$1001,"&gt;="&amp;(NOW()-30)))</f>
      </c>
      <c r="H181" s="36"/>
    </row>
    <row r="182">
      <c r="A182" s="31"/>
      <c r="B182" s="30"/>
      <c r="C182" s="35"/>
      <c r="D182" s="34"/>
      <c r="E182" s="39">
        <f>IF(A182="","",SUMIFS(Transactions!$H$2:$H$1001,Transactions!$F$2:$F$1001,A182,Transactions!$C$2:$C$1001,"issue",Transactions!$D$2:$D$1001,"&gt;="&amp;(NOW()-30)))</f>
      </c>
      <c r="F182" s="39">
        <f>IF(A182="","",COUNTIFS(Transactions!$F$2:$F$1001,A182,Transactions!$C$2:$C$1001,"loan",Transactions!$D$2:$D$1001,"&gt;="&amp;(NOW()-30)))</f>
      </c>
      <c r="G182" s="39">
        <f>IF(A182="","",COUNTIFS(Transactions!$F$2:$F$1001,A182,Transactions!$C$2:$C$1001,"unfilled",Transactions!$D$2:$D$1001,"&gt;="&amp;(NOW()-30)))</f>
      </c>
      <c r="H182" s="36"/>
    </row>
    <row r="183">
      <c r="A183" s="31"/>
      <c r="B183" s="30"/>
      <c r="C183" s="35"/>
      <c r="D183" s="34"/>
      <c r="E183" s="39">
        <f>IF(A183="","",SUMIFS(Transactions!$H$2:$H$1001,Transactions!$F$2:$F$1001,A183,Transactions!$C$2:$C$1001,"issue",Transactions!$D$2:$D$1001,"&gt;="&amp;(NOW()-30)))</f>
      </c>
      <c r="F183" s="39">
        <f>IF(A183="","",COUNTIFS(Transactions!$F$2:$F$1001,A183,Transactions!$C$2:$C$1001,"loan",Transactions!$D$2:$D$1001,"&gt;="&amp;(NOW()-30)))</f>
      </c>
      <c r="G183" s="39">
        <f>IF(A183="","",COUNTIFS(Transactions!$F$2:$F$1001,A183,Transactions!$C$2:$C$1001,"unfilled",Transactions!$D$2:$D$1001,"&gt;="&amp;(NOW()-30)))</f>
      </c>
      <c r="H183" s="36"/>
    </row>
    <row r="184">
      <c r="A184" s="31"/>
      <c r="B184" s="30"/>
      <c r="C184" s="35"/>
      <c r="D184" s="34"/>
      <c r="E184" s="39">
        <f>IF(A184="","",SUMIFS(Transactions!$H$2:$H$1001,Transactions!$F$2:$F$1001,A184,Transactions!$C$2:$C$1001,"issue",Transactions!$D$2:$D$1001,"&gt;="&amp;(NOW()-30)))</f>
      </c>
      <c r="F184" s="39">
        <f>IF(A184="","",COUNTIFS(Transactions!$F$2:$F$1001,A184,Transactions!$C$2:$C$1001,"loan",Transactions!$D$2:$D$1001,"&gt;="&amp;(NOW()-30)))</f>
      </c>
      <c r="G184" s="39">
        <f>IF(A184="","",COUNTIFS(Transactions!$F$2:$F$1001,A184,Transactions!$C$2:$C$1001,"unfilled",Transactions!$D$2:$D$1001,"&gt;="&amp;(NOW()-30)))</f>
      </c>
      <c r="H184" s="36"/>
    </row>
    <row r="185">
      <c r="A185" s="31"/>
      <c r="B185" s="30"/>
      <c r="C185" s="35"/>
      <c r="D185" s="34"/>
      <c r="E185" s="39">
        <f>IF(A185="","",SUMIFS(Transactions!$H$2:$H$1001,Transactions!$F$2:$F$1001,A185,Transactions!$C$2:$C$1001,"issue",Transactions!$D$2:$D$1001,"&gt;="&amp;(NOW()-30)))</f>
      </c>
      <c r="F185" s="39">
        <f>IF(A185="","",COUNTIFS(Transactions!$F$2:$F$1001,A185,Transactions!$C$2:$C$1001,"loan",Transactions!$D$2:$D$1001,"&gt;="&amp;(NOW()-30)))</f>
      </c>
      <c r="G185" s="39">
        <f>IF(A185="","",COUNTIFS(Transactions!$F$2:$F$1001,A185,Transactions!$C$2:$C$1001,"unfilled",Transactions!$D$2:$D$1001,"&gt;="&amp;(NOW()-30)))</f>
      </c>
      <c r="H185" s="36"/>
    </row>
    <row r="186">
      <c r="A186" s="31"/>
      <c r="B186" s="30"/>
      <c r="C186" s="35"/>
      <c r="D186" s="34"/>
      <c r="E186" s="39">
        <f>IF(A186="","",SUMIFS(Transactions!$H$2:$H$1001,Transactions!$F$2:$F$1001,A186,Transactions!$C$2:$C$1001,"issue",Transactions!$D$2:$D$1001,"&gt;="&amp;(NOW()-30)))</f>
      </c>
      <c r="F186" s="39">
        <f>IF(A186="","",COUNTIFS(Transactions!$F$2:$F$1001,A186,Transactions!$C$2:$C$1001,"loan",Transactions!$D$2:$D$1001,"&gt;="&amp;(NOW()-30)))</f>
      </c>
      <c r="G186" s="39">
        <f>IF(A186="","",COUNTIFS(Transactions!$F$2:$F$1001,A186,Transactions!$C$2:$C$1001,"unfilled",Transactions!$D$2:$D$1001,"&gt;="&amp;(NOW()-30)))</f>
      </c>
      <c r="H186" s="36"/>
    </row>
    <row r="187">
      <c r="A187" s="31"/>
      <c r="B187" s="30"/>
      <c r="C187" s="35"/>
      <c r="D187" s="34"/>
      <c r="E187" s="39">
        <f>IF(A187="","",SUMIFS(Transactions!$H$2:$H$1001,Transactions!$F$2:$F$1001,A187,Transactions!$C$2:$C$1001,"issue",Transactions!$D$2:$D$1001,"&gt;="&amp;(NOW()-30)))</f>
      </c>
      <c r="F187" s="39">
        <f>IF(A187="","",COUNTIFS(Transactions!$F$2:$F$1001,A187,Transactions!$C$2:$C$1001,"loan",Transactions!$D$2:$D$1001,"&gt;="&amp;(NOW()-30)))</f>
      </c>
      <c r="G187" s="39">
        <f>IF(A187="","",COUNTIFS(Transactions!$F$2:$F$1001,A187,Transactions!$C$2:$C$1001,"unfilled",Transactions!$D$2:$D$1001,"&gt;="&amp;(NOW()-30)))</f>
      </c>
      <c r="H187" s="36"/>
    </row>
    <row r="188">
      <c r="A188" s="31"/>
      <c r="B188" s="30"/>
      <c r="C188" s="35"/>
      <c r="D188" s="34"/>
      <c r="E188" s="39">
        <f>IF(A188="","",SUMIFS(Transactions!$H$2:$H$1001,Transactions!$F$2:$F$1001,A188,Transactions!$C$2:$C$1001,"issue",Transactions!$D$2:$D$1001,"&gt;="&amp;(NOW()-30)))</f>
      </c>
      <c r="F188" s="39">
        <f>IF(A188="","",COUNTIFS(Transactions!$F$2:$F$1001,A188,Transactions!$C$2:$C$1001,"loan",Transactions!$D$2:$D$1001,"&gt;="&amp;(NOW()-30)))</f>
      </c>
      <c r="G188" s="39">
        <f>IF(A188="","",COUNTIFS(Transactions!$F$2:$F$1001,A188,Transactions!$C$2:$C$1001,"unfilled",Transactions!$D$2:$D$1001,"&gt;="&amp;(NOW()-30)))</f>
      </c>
      <c r="H188" s="36"/>
    </row>
    <row r="189">
      <c r="A189" s="31"/>
      <c r="B189" s="30"/>
      <c r="C189" s="35"/>
      <c r="D189" s="34"/>
      <c r="E189" s="39">
        <f>IF(A189="","",SUMIFS(Transactions!$H$2:$H$1001,Transactions!$F$2:$F$1001,A189,Transactions!$C$2:$C$1001,"issue",Transactions!$D$2:$D$1001,"&gt;="&amp;(NOW()-30)))</f>
      </c>
      <c r="F189" s="39">
        <f>IF(A189="","",COUNTIFS(Transactions!$F$2:$F$1001,A189,Transactions!$C$2:$C$1001,"loan",Transactions!$D$2:$D$1001,"&gt;="&amp;(NOW()-30)))</f>
      </c>
      <c r="G189" s="39">
        <f>IF(A189="","",COUNTIFS(Transactions!$F$2:$F$1001,A189,Transactions!$C$2:$C$1001,"unfilled",Transactions!$D$2:$D$1001,"&gt;="&amp;(NOW()-30)))</f>
      </c>
      <c r="H189" s="36"/>
    </row>
    <row r="190">
      <c r="A190" s="31"/>
      <c r="B190" s="30"/>
      <c r="C190" s="35"/>
      <c r="D190" s="34"/>
      <c r="E190" s="39">
        <f>IF(A190="","",SUMIFS(Transactions!$H$2:$H$1001,Transactions!$F$2:$F$1001,A190,Transactions!$C$2:$C$1001,"issue",Transactions!$D$2:$D$1001,"&gt;="&amp;(NOW()-30)))</f>
      </c>
      <c r="F190" s="39">
        <f>IF(A190="","",COUNTIFS(Transactions!$F$2:$F$1001,A190,Transactions!$C$2:$C$1001,"loan",Transactions!$D$2:$D$1001,"&gt;="&amp;(NOW()-30)))</f>
      </c>
      <c r="G190" s="39">
        <f>IF(A190="","",COUNTIFS(Transactions!$F$2:$F$1001,A190,Transactions!$C$2:$C$1001,"unfilled",Transactions!$D$2:$D$1001,"&gt;="&amp;(NOW()-30)))</f>
      </c>
      <c r="H190" s="36"/>
    </row>
    <row r="191">
      <c r="A191" s="31"/>
      <c r="B191" s="30"/>
      <c r="C191" s="35"/>
      <c r="D191" s="34"/>
      <c r="E191" s="39">
        <f>IF(A191="","",SUMIFS(Transactions!$H$2:$H$1001,Transactions!$F$2:$F$1001,A191,Transactions!$C$2:$C$1001,"issue",Transactions!$D$2:$D$1001,"&gt;="&amp;(NOW()-30)))</f>
      </c>
      <c r="F191" s="39">
        <f>IF(A191="","",COUNTIFS(Transactions!$F$2:$F$1001,A191,Transactions!$C$2:$C$1001,"loan",Transactions!$D$2:$D$1001,"&gt;="&amp;(NOW()-30)))</f>
      </c>
      <c r="G191" s="39">
        <f>IF(A191="","",COUNTIFS(Transactions!$F$2:$F$1001,A191,Transactions!$C$2:$C$1001,"unfilled",Transactions!$D$2:$D$1001,"&gt;="&amp;(NOW()-30)))</f>
      </c>
      <c r="H191" s="36"/>
    </row>
    <row r="192">
      <c r="A192" s="31"/>
      <c r="B192" s="30"/>
      <c r="C192" s="35"/>
      <c r="D192" s="34"/>
      <c r="E192" s="39">
        <f>IF(A192="","",SUMIFS(Transactions!$H$2:$H$1001,Transactions!$F$2:$F$1001,A192,Transactions!$C$2:$C$1001,"issue",Transactions!$D$2:$D$1001,"&gt;="&amp;(NOW()-30)))</f>
      </c>
      <c r="F192" s="39">
        <f>IF(A192="","",COUNTIFS(Transactions!$F$2:$F$1001,A192,Transactions!$C$2:$C$1001,"loan",Transactions!$D$2:$D$1001,"&gt;="&amp;(NOW()-30)))</f>
      </c>
      <c r="G192" s="39">
        <f>IF(A192="","",COUNTIFS(Transactions!$F$2:$F$1001,A192,Transactions!$C$2:$C$1001,"unfilled",Transactions!$D$2:$D$1001,"&gt;="&amp;(NOW()-30)))</f>
      </c>
      <c r="H192" s="36"/>
    </row>
    <row r="193">
      <c r="A193" s="31"/>
      <c r="B193" s="30"/>
      <c r="C193" s="35"/>
      <c r="D193" s="34"/>
      <c r="E193" s="39">
        <f>IF(A193="","",SUMIFS(Transactions!$H$2:$H$1001,Transactions!$F$2:$F$1001,A193,Transactions!$C$2:$C$1001,"issue",Transactions!$D$2:$D$1001,"&gt;="&amp;(NOW()-30)))</f>
      </c>
      <c r="F193" s="39">
        <f>IF(A193="","",COUNTIFS(Transactions!$F$2:$F$1001,A193,Transactions!$C$2:$C$1001,"loan",Transactions!$D$2:$D$1001,"&gt;="&amp;(NOW()-30)))</f>
      </c>
      <c r="G193" s="39">
        <f>IF(A193="","",COUNTIFS(Transactions!$F$2:$F$1001,A193,Transactions!$C$2:$C$1001,"unfilled",Transactions!$D$2:$D$1001,"&gt;="&amp;(NOW()-30)))</f>
      </c>
      <c r="H193" s="36"/>
    </row>
    <row r="194">
      <c r="A194" s="31"/>
      <c r="B194" s="30"/>
      <c r="C194" s="35"/>
      <c r="D194" s="34"/>
      <c r="E194" s="39">
        <f>IF(A194="","",SUMIFS(Transactions!$H$2:$H$1001,Transactions!$F$2:$F$1001,A194,Transactions!$C$2:$C$1001,"issue",Transactions!$D$2:$D$1001,"&gt;="&amp;(NOW()-30)))</f>
      </c>
      <c r="F194" s="39">
        <f>IF(A194="","",COUNTIFS(Transactions!$F$2:$F$1001,A194,Transactions!$C$2:$C$1001,"loan",Transactions!$D$2:$D$1001,"&gt;="&amp;(NOW()-30)))</f>
      </c>
      <c r="G194" s="39">
        <f>IF(A194="","",COUNTIFS(Transactions!$F$2:$F$1001,A194,Transactions!$C$2:$C$1001,"unfilled",Transactions!$D$2:$D$1001,"&gt;="&amp;(NOW()-30)))</f>
      </c>
      <c r="H194" s="36"/>
    </row>
    <row r="195">
      <c r="A195" s="31"/>
      <c r="B195" s="30"/>
      <c r="C195" s="35"/>
      <c r="D195" s="34"/>
      <c r="E195" s="39">
        <f>IF(A195="","",SUMIFS(Transactions!$H$2:$H$1001,Transactions!$F$2:$F$1001,A195,Transactions!$C$2:$C$1001,"issue",Transactions!$D$2:$D$1001,"&gt;="&amp;(NOW()-30)))</f>
      </c>
      <c r="F195" s="39">
        <f>IF(A195="","",COUNTIFS(Transactions!$F$2:$F$1001,A195,Transactions!$C$2:$C$1001,"loan",Transactions!$D$2:$D$1001,"&gt;="&amp;(NOW()-30)))</f>
      </c>
      <c r="G195" s="39">
        <f>IF(A195="","",COUNTIFS(Transactions!$F$2:$F$1001,A195,Transactions!$C$2:$C$1001,"unfilled",Transactions!$D$2:$D$1001,"&gt;="&amp;(NOW()-30)))</f>
      </c>
      <c r="H195" s="36"/>
    </row>
    <row r="196">
      <c r="A196" s="31"/>
      <c r="B196" s="30"/>
      <c r="C196" s="35"/>
      <c r="D196" s="34"/>
      <c r="E196" s="39">
        <f>IF(A196="","",SUMIFS(Transactions!$H$2:$H$1001,Transactions!$F$2:$F$1001,A196,Transactions!$C$2:$C$1001,"issue",Transactions!$D$2:$D$1001,"&gt;="&amp;(NOW()-30)))</f>
      </c>
      <c r="F196" s="39">
        <f>IF(A196="","",COUNTIFS(Transactions!$F$2:$F$1001,A196,Transactions!$C$2:$C$1001,"loan",Transactions!$D$2:$D$1001,"&gt;="&amp;(NOW()-30)))</f>
      </c>
      <c r="G196" s="39">
        <f>IF(A196="","",COUNTIFS(Transactions!$F$2:$F$1001,A196,Transactions!$C$2:$C$1001,"unfilled",Transactions!$D$2:$D$1001,"&gt;="&amp;(NOW()-30)))</f>
      </c>
      <c r="H196" s="36"/>
    </row>
    <row r="197">
      <c r="A197" s="31"/>
      <c r="B197" s="30"/>
      <c r="C197" s="35"/>
      <c r="D197" s="34"/>
      <c r="E197" s="39">
        <f>IF(A197="","",SUMIFS(Transactions!$H$2:$H$1001,Transactions!$F$2:$F$1001,A197,Transactions!$C$2:$C$1001,"issue",Transactions!$D$2:$D$1001,"&gt;="&amp;(NOW()-30)))</f>
      </c>
      <c r="F197" s="39">
        <f>IF(A197="","",COUNTIFS(Transactions!$F$2:$F$1001,A197,Transactions!$C$2:$C$1001,"loan",Transactions!$D$2:$D$1001,"&gt;="&amp;(NOW()-30)))</f>
      </c>
      <c r="G197" s="39">
        <f>IF(A197="","",COUNTIFS(Transactions!$F$2:$F$1001,A197,Transactions!$C$2:$C$1001,"unfilled",Transactions!$D$2:$D$1001,"&gt;="&amp;(NOW()-30)))</f>
      </c>
      <c r="H197" s="36"/>
    </row>
    <row r="198">
      <c r="A198" s="31"/>
      <c r="B198" s="30"/>
      <c r="C198" s="35"/>
      <c r="D198" s="34"/>
      <c r="E198" s="39">
        <f>IF(A198="","",SUMIFS(Transactions!$H$2:$H$1001,Transactions!$F$2:$F$1001,A198,Transactions!$C$2:$C$1001,"issue",Transactions!$D$2:$D$1001,"&gt;="&amp;(NOW()-30)))</f>
      </c>
      <c r="F198" s="39">
        <f>IF(A198="","",COUNTIFS(Transactions!$F$2:$F$1001,A198,Transactions!$C$2:$C$1001,"loan",Transactions!$D$2:$D$1001,"&gt;="&amp;(NOW()-30)))</f>
      </c>
      <c r="G198" s="39">
        <f>IF(A198="","",COUNTIFS(Transactions!$F$2:$F$1001,A198,Transactions!$C$2:$C$1001,"unfilled",Transactions!$D$2:$D$1001,"&gt;="&amp;(NOW()-30)))</f>
      </c>
      <c r="H198" s="36"/>
    </row>
    <row r="199">
      <c r="A199" s="31"/>
      <c r="B199" s="30"/>
      <c r="C199" s="35"/>
      <c r="D199" s="34"/>
      <c r="E199" s="39">
        <f>IF(A199="","",SUMIFS(Transactions!$H$2:$H$1001,Transactions!$F$2:$F$1001,A199,Transactions!$C$2:$C$1001,"issue",Transactions!$D$2:$D$1001,"&gt;="&amp;(NOW()-30)))</f>
      </c>
      <c r="F199" s="39">
        <f>IF(A199="","",COUNTIFS(Transactions!$F$2:$F$1001,A199,Transactions!$C$2:$C$1001,"loan",Transactions!$D$2:$D$1001,"&gt;="&amp;(NOW()-30)))</f>
      </c>
      <c r="G199" s="39">
        <f>IF(A199="","",COUNTIFS(Transactions!$F$2:$F$1001,A199,Transactions!$C$2:$C$1001,"unfilled",Transactions!$D$2:$D$1001,"&gt;="&amp;(NOW()-30)))</f>
      </c>
      <c r="H199" s="36"/>
    </row>
    <row r="200">
      <c r="A200" s="31"/>
      <c r="B200" s="30"/>
      <c r="C200" s="35"/>
      <c r="D200" s="34"/>
      <c r="E200" s="39">
        <f>IF(A200="","",SUMIFS(Transactions!$H$2:$H$1001,Transactions!$F$2:$F$1001,A200,Transactions!$C$2:$C$1001,"issue",Transactions!$D$2:$D$1001,"&gt;="&amp;(NOW()-30)))</f>
      </c>
      <c r="F200" s="39">
        <f>IF(A200="","",COUNTIFS(Transactions!$F$2:$F$1001,A200,Transactions!$C$2:$C$1001,"loan",Transactions!$D$2:$D$1001,"&gt;="&amp;(NOW()-30)))</f>
      </c>
      <c r="G200" s="39">
        <f>IF(A200="","",COUNTIFS(Transactions!$F$2:$F$1001,A200,Transactions!$C$2:$C$1001,"unfilled",Transactions!$D$2:$D$1001,"&gt;="&amp;(NOW()-30)))</f>
      </c>
      <c r="H200" s="36"/>
    </row>
    <row r="201">
      <c r="A201" s="31"/>
      <c r="B201" s="30"/>
      <c r="C201" s="35"/>
      <c r="D201" s="34"/>
      <c r="E201" s="39">
        <f>IF(A201="","",SUMIFS(Transactions!$H$2:$H$1001,Transactions!$F$2:$F$1001,A201,Transactions!$C$2:$C$1001,"issue",Transactions!$D$2:$D$1001,"&gt;="&amp;(NOW()-30)))</f>
      </c>
      <c r="F201" s="39">
        <f>IF(A201="","",COUNTIFS(Transactions!$F$2:$F$1001,A201,Transactions!$C$2:$C$1001,"loan",Transactions!$D$2:$D$1001,"&gt;="&amp;(NOW()-30)))</f>
      </c>
      <c r="G201" s="39">
        <f>IF(A201="","",COUNTIFS(Transactions!$F$2:$F$1001,A201,Transactions!$C$2:$C$1001,"unfilled",Transactions!$D$2:$D$1001,"&gt;="&amp;(NOW()-30)))</f>
      </c>
      <c r="H201" s="36"/>
    </row>
    <row r="202">
      <c r="A202" s="31"/>
      <c r="B202" s="30"/>
      <c r="C202" s="35"/>
      <c r="D202" s="34"/>
      <c r="E202" s="39">
        <f>IF(A202="","",SUMIFS(Transactions!$H$2:$H$1001,Transactions!$F$2:$F$1001,A202,Transactions!$C$2:$C$1001,"issue",Transactions!$D$2:$D$1001,"&gt;="&amp;(NOW()-30)))</f>
      </c>
      <c r="F202" s="39">
        <f>IF(A202="","",COUNTIFS(Transactions!$F$2:$F$1001,A202,Transactions!$C$2:$C$1001,"loan",Transactions!$D$2:$D$1001,"&gt;="&amp;(NOW()-30)))</f>
      </c>
      <c r="G202" s="39">
        <f>IF(A202="","",COUNTIFS(Transactions!$F$2:$F$1001,A202,Transactions!$C$2:$C$1001,"unfilled",Transactions!$D$2:$D$1001,"&gt;="&amp;(NOW()-30)))</f>
      </c>
      <c r="H202" s="36"/>
    </row>
    <row r="203">
      <c r="A203" s="31"/>
      <c r="B203" s="30"/>
      <c r="C203" s="35"/>
      <c r="D203" s="34"/>
      <c r="E203" s="39">
        <f>IF(A203="","",SUMIFS(Transactions!$H$2:$H$1001,Transactions!$F$2:$F$1001,A203,Transactions!$C$2:$C$1001,"issue",Transactions!$D$2:$D$1001,"&gt;="&amp;(NOW()-30)))</f>
      </c>
      <c r="F203" s="39">
        <f>IF(A203="","",COUNTIFS(Transactions!$F$2:$F$1001,A203,Transactions!$C$2:$C$1001,"loan",Transactions!$D$2:$D$1001,"&gt;="&amp;(NOW()-30)))</f>
      </c>
      <c r="G203" s="39">
        <f>IF(A203="","",COUNTIFS(Transactions!$F$2:$F$1001,A203,Transactions!$C$2:$C$1001,"unfilled",Transactions!$D$2:$D$1001,"&gt;="&amp;(NOW()-30)))</f>
      </c>
      <c r="H203" s="36"/>
    </row>
    <row r="204">
      <c r="A204" s="31"/>
      <c r="B204" s="30"/>
      <c r="C204" s="35"/>
      <c r="D204" s="34"/>
      <c r="E204" s="39">
        <f>IF(A204="","",SUMIFS(Transactions!$H$2:$H$1001,Transactions!$F$2:$F$1001,A204,Transactions!$C$2:$C$1001,"issue",Transactions!$D$2:$D$1001,"&gt;="&amp;(NOW()-30)))</f>
      </c>
      <c r="F204" s="39">
        <f>IF(A204="","",COUNTIFS(Transactions!$F$2:$F$1001,A204,Transactions!$C$2:$C$1001,"loan",Transactions!$D$2:$D$1001,"&gt;="&amp;(NOW()-30)))</f>
      </c>
      <c r="G204" s="39">
        <f>IF(A204="","",COUNTIFS(Transactions!$F$2:$F$1001,A204,Transactions!$C$2:$C$1001,"unfilled",Transactions!$D$2:$D$1001,"&gt;="&amp;(NOW()-30)))</f>
      </c>
      <c r="H204" s="36"/>
    </row>
    <row r="205">
      <c r="A205" s="31"/>
      <c r="B205" s="30"/>
      <c r="C205" s="35"/>
      <c r="D205" s="34"/>
      <c r="E205" s="39">
        <f>IF(A205="","",SUMIFS(Transactions!$H$2:$H$1001,Transactions!$F$2:$F$1001,A205,Transactions!$C$2:$C$1001,"issue",Transactions!$D$2:$D$1001,"&gt;="&amp;(NOW()-30)))</f>
      </c>
      <c r="F205" s="39">
        <f>IF(A205="","",COUNTIFS(Transactions!$F$2:$F$1001,A205,Transactions!$C$2:$C$1001,"loan",Transactions!$D$2:$D$1001,"&gt;="&amp;(NOW()-30)))</f>
      </c>
      <c r="G205" s="39">
        <f>IF(A205="","",COUNTIFS(Transactions!$F$2:$F$1001,A205,Transactions!$C$2:$C$1001,"unfilled",Transactions!$D$2:$D$1001,"&gt;="&amp;(NOW()-30)))</f>
      </c>
      <c r="H205" s="36"/>
    </row>
    <row r="206">
      <c r="A206" s="31"/>
      <c r="B206" s="30"/>
      <c r="C206" s="35"/>
      <c r="D206" s="34"/>
      <c r="E206" s="39">
        <f>IF(A206="","",SUMIFS(Transactions!$H$2:$H$1001,Transactions!$F$2:$F$1001,A206,Transactions!$C$2:$C$1001,"issue",Transactions!$D$2:$D$1001,"&gt;="&amp;(NOW()-30)))</f>
      </c>
      <c r="F206" s="39">
        <f>IF(A206="","",COUNTIFS(Transactions!$F$2:$F$1001,A206,Transactions!$C$2:$C$1001,"loan",Transactions!$D$2:$D$1001,"&gt;="&amp;(NOW()-30)))</f>
      </c>
      <c r="G206" s="39">
        <f>IF(A206="","",COUNTIFS(Transactions!$F$2:$F$1001,A206,Transactions!$C$2:$C$1001,"unfilled",Transactions!$D$2:$D$1001,"&gt;="&amp;(NOW()-30)))</f>
      </c>
      <c r="H206" s="36"/>
    </row>
    <row r="207">
      <c r="A207" s="31"/>
      <c r="B207" s="30"/>
      <c r="C207" s="35"/>
      <c r="D207" s="34"/>
      <c r="E207" s="39">
        <f>IF(A207="","",SUMIFS(Transactions!$H$2:$H$1001,Transactions!$F$2:$F$1001,A207,Transactions!$C$2:$C$1001,"issue",Transactions!$D$2:$D$1001,"&gt;="&amp;(NOW()-30)))</f>
      </c>
      <c r="F207" s="39">
        <f>IF(A207="","",COUNTIFS(Transactions!$F$2:$F$1001,A207,Transactions!$C$2:$C$1001,"loan",Transactions!$D$2:$D$1001,"&gt;="&amp;(NOW()-30)))</f>
      </c>
      <c r="G207" s="39">
        <f>IF(A207="","",COUNTIFS(Transactions!$F$2:$F$1001,A207,Transactions!$C$2:$C$1001,"unfilled",Transactions!$D$2:$D$1001,"&gt;="&amp;(NOW()-30)))</f>
      </c>
      <c r="H207" s="36"/>
    </row>
    <row r="208">
      <c r="A208" s="31"/>
      <c r="B208" s="30"/>
      <c r="C208" s="35"/>
      <c r="D208" s="34"/>
      <c r="E208" s="39">
        <f>IF(A208="","",SUMIFS(Transactions!$H$2:$H$1001,Transactions!$F$2:$F$1001,A208,Transactions!$C$2:$C$1001,"issue",Transactions!$D$2:$D$1001,"&gt;="&amp;(NOW()-30)))</f>
      </c>
      <c r="F208" s="39">
        <f>IF(A208="","",COUNTIFS(Transactions!$F$2:$F$1001,A208,Transactions!$C$2:$C$1001,"loan",Transactions!$D$2:$D$1001,"&gt;="&amp;(NOW()-30)))</f>
      </c>
      <c r="G208" s="39">
        <f>IF(A208="","",COUNTIFS(Transactions!$F$2:$F$1001,A208,Transactions!$C$2:$C$1001,"unfilled",Transactions!$D$2:$D$1001,"&gt;="&amp;(NOW()-30)))</f>
      </c>
      <c r="H208" s="36"/>
    </row>
    <row r="209">
      <c r="A209" s="31"/>
      <c r="B209" s="30"/>
      <c r="C209" s="35"/>
      <c r="D209" s="34"/>
      <c r="E209" s="39">
        <f>IF(A209="","",SUMIFS(Transactions!$H$2:$H$1001,Transactions!$F$2:$F$1001,A209,Transactions!$C$2:$C$1001,"issue",Transactions!$D$2:$D$1001,"&gt;="&amp;(NOW()-30)))</f>
      </c>
      <c r="F209" s="39">
        <f>IF(A209="","",COUNTIFS(Transactions!$F$2:$F$1001,A209,Transactions!$C$2:$C$1001,"loan",Transactions!$D$2:$D$1001,"&gt;="&amp;(NOW()-30)))</f>
      </c>
      <c r="G209" s="39">
        <f>IF(A209="","",COUNTIFS(Transactions!$F$2:$F$1001,A209,Transactions!$C$2:$C$1001,"unfilled",Transactions!$D$2:$D$1001,"&gt;="&amp;(NOW()-30)))</f>
      </c>
      <c r="H209" s="36"/>
    </row>
    <row r="210">
      <c r="A210" s="31"/>
      <c r="B210" s="30"/>
      <c r="C210" s="35"/>
      <c r="D210" s="34"/>
      <c r="E210" s="39">
        <f>IF(A210="","",SUMIFS(Transactions!$H$2:$H$1001,Transactions!$F$2:$F$1001,A210,Transactions!$C$2:$C$1001,"issue",Transactions!$D$2:$D$1001,"&gt;="&amp;(NOW()-30)))</f>
      </c>
      <c r="F210" s="39">
        <f>IF(A210="","",COUNTIFS(Transactions!$F$2:$F$1001,A210,Transactions!$C$2:$C$1001,"loan",Transactions!$D$2:$D$1001,"&gt;="&amp;(NOW()-30)))</f>
      </c>
      <c r="G210" s="39">
        <f>IF(A210="","",COUNTIFS(Transactions!$F$2:$F$1001,A210,Transactions!$C$2:$C$1001,"unfilled",Transactions!$D$2:$D$1001,"&gt;="&amp;(NOW()-30)))</f>
      </c>
      <c r="H210" s="36"/>
    </row>
    <row r="211">
      <c r="A211" s="31"/>
      <c r="B211" s="30"/>
      <c r="C211" s="35"/>
      <c r="D211" s="34"/>
      <c r="E211" s="39">
        <f>IF(A211="","",SUMIFS(Transactions!$H$2:$H$1001,Transactions!$F$2:$F$1001,A211,Transactions!$C$2:$C$1001,"issue",Transactions!$D$2:$D$1001,"&gt;="&amp;(NOW()-30)))</f>
      </c>
      <c r="F211" s="39">
        <f>IF(A211="","",COUNTIFS(Transactions!$F$2:$F$1001,A211,Transactions!$C$2:$C$1001,"loan",Transactions!$D$2:$D$1001,"&gt;="&amp;(NOW()-30)))</f>
      </c>
      <c r="G211" s="39">
        <f>IF(A211="","",COUNTIFS(Transactions!$F$2:$F$1001,A211,Transactions!$C$2:$C$1001,"unfilled",Transactions!$D$2:$D$1001,"&gt;="&amp;(NOW()-30)))</f>
      </c>
      <c r="H211" s="36"/>
    </row>
    <row r="212">
      <c r="A212" s="31"/>
      <c r="B212" s="30"/>
      <c r="C212" s="35"/>
      <c r="D212" s="34"/>
      <c r="E212" s="39">
        <f>IF(A212="","",SUMIFS(Transactions!$H$2:$H$1001,Transactions!$F$2:$F$1001,A212,Transactions!$C$2:$C$1001,"issue",Transactions!$D$2:$D$1001,"&gt;="&amp;(NOW()-30)))</f>
      </c>
      <c r="F212" s="39">
        <f>IF(A212="","",COUNTIFS(Transactions!$F$2:$F$1001,A212,Transactions!$C$2:$C$1001,"loan",Transactions!$D$2:$D$1001,"&gt;="&amp;(NOW()-30)))</f>
      </c>
      <c r="G212" s="39">
        <f>IF(A212="","",COUNTIFS(Transactions!$F$2:$F$1001,A212,Transactions!$C$2:$C$1001,"unfilled",Transactions!$D$2:$D$1001,"&gt;="&amp;(NOW()-30)))</f>
      </c>
      <c r="H212" s="36"/>
    </row>
    <row r="213">
      <c r="A213" s="31"/>
      <c r="B213" s="30"/>
      <c r="C213" s="35"/>
      <c r="D213" s="34"/>
      <c r="E213" s="39">
        <f>IF(A213="","",SUMIFS(Transactions!$H$2:$H$1001,Transactions!$F$2:$F$1001,A213,Transactions!$C$2:$C$1001,"issue",Transactions!$D$2:$D$1001,"&gt;="&amp;(NOW()-30)))</f>
      </c>
      <c r="F213" s="39">
        <f>IF(A213="","",COUNTIFS(Transactions!$F$2:$F$1001,A213,Transactions!$C$2:$C$1001,"loan",Transactions!$D$2:$D$1001,"&gt;="&amp;(NOW()-30)))</f>
      </c>
      <c r="G213" s="39">
        <f>IF(A213="","",COUNTIFS(Transactions!$F$2:$F$1001,A213,Transactions!$C$2:$C$1001,"unfilled",Transactions!$D$2:$D$1001,"&gt;="&amp;(NOW()-30)))</f>
      </c>
      <c r="H213" s="36"/>
    </row>
    <row r="214">
      <c r="A214" s="31"/>
      <c r="B214" s="30"/>
      <c r="C214" s="35"/>
      <c r="D214" s="34"/>
      <c r="E214" s="39">
        <f>IF(A214="","",SUMIFS(Transactions!$H$2:$H$1001,Transactions!$F$2:$F$1001,A214,Transactions!$C$2:$C$1001,"issue",Transactions!$D$2:$D$1001,"&gt;="&amp;(NOW()-30)))</f>
      </c>
      <c r="F214" s="39">
        <f>IF(A214="","",COUNTIFS(Transactions!$F$2:$F$1001,A214,Transactions!$C$2:$C$1001,"loan",Transactions!$D$2:$D$1001,"&gt;="&amp;(NOW()-30)))</f>
      </c>
      <c r="G214" s="39">
        <f>IF(A214="","",COUNTIFS(Transactions!$F$2:$F$1001,A214,Transactions!$C$2:$C$1001,"unfilled",Transactions!$D$2:$D$1001,"&gt;="&amp;(NOW()-30)))</f>
      </c>
      <c r="H214" s="36"/>
    </row>
    <row r="215">
      <c r="A215" s="31"/>
      <c r="B215" s="30"/>
      <c r="C215" s="35"/>
      <c r="D215" s="34"/>
      <c r="E215" s="39">
        <f>IF(A215="","",SUMIFS(Transactions!$H$2:$H$1001,Transactions!$F$2:$F$1001,A215,Transactions!$C$2:$C$1001,"issue",Transactions!$D$2:$D$1001,"&gt;="&amp;(NOW()-30)))</f>
      </c>
      <c r="F215" s="39">
        <f>IF(A215="","",COUNTIFS(Transactions!$F$2:$F$1001,A215,Transactions!$C$2:$C$1001,"loan",Transactions!$D$2:$D$1001,"&gt;="&amp;(NOW()-30)))</f>
      </c>
      <c r="G215" s="39">
        <f>IF(A215="","",COUNTIFS(Transactions!$F$2:$F$1001,A215,Transactions!$C$2:$C$1001,"unfilled",Transactions!$D$2:$D$1001,"&gt;="&amp;(NOW()-30)))</f>
      </c>
      <c r="H215" s="36"/>
    </row>
    <row r="216">
      <c r="A216" s="31"/>
      <c r="B216" s="30"/>
      <c r="C216" s="35"/>
      <c r="D216" s="34"/>
      <c r="E216" s="39">
        <f>IF(A216="","",SUMIFS(Transactions!$H$2:$H$1001,Transactions!$F$2:$F$1001,A216,Transactions!$C$2:$C$1001,"issue",Transactions!$D$2:$D$1001,"&gt;="&amp;(NOW()-30)))</f>
      </c>
      <c r="F216" s="39">
        <f>IF(A216="","",COUNTIFS(Transactions!$F$2:$F$1001,A216,Transactions!$C$2:$C$1001,"loan",Transactions!$D$2:$D$1001,"&gt;="&amp;(NOW()-30)))</f>
      </c>
      <c r="G216" s="39">
        <f>IF(A216="","",COUNTIFS(Transactions!$F$2:$F$1001,A216,Transactions!$C$2:$C$1001,"unfilled",Transactions!$D$2:$D$1001,"&gt;="&amp;(NOW()-30)))</f>
      </c>
      <c r="H216" s="36"/>
    </row>
    <row r="217">
      <c r="A217" s="31"/>
      <c r="B217" s="30"/>
      <c r="C217" s="35"/>
      <c r="D217" s="34"/>
      <c r="E217" s="39">
        <f>IF(A217="","",SUMIFS(Transactions!$H$2:$H$1001,Transactions!$F$2:$F$1001,A217,Transactions!$C$2:$C$1001,"issue",Transactions!$D$2:$D$1001,"&gt;="&amp;(NOW()-30)))</f>
      </c>
      <c r="F217" s="39">
        <f>IF(A217="","",COUNTIFS(Transactions!$F$2:$F$1001,A217,Transactions!$C$2:$C$1001,"loan",Transactions!$D$2:$D$1001,"&gt;="&amp;(NOW()-30)))</f>
      </c>
      <c r="G217" s="39">
        <f>IF(A217="","",COUNTIFS(Transactions!$F$2:$F$1001,A217,Transactions!$C$2:$C$1001,"unfilled",Transactions!$D$2:$D$1001,"&gt;="&amp;(NOW()-30)))</f>
      </c>
      <c r="H217" s="36"/>
    </row>
    <row r="218">
      <c r="A218" s="31"/>
      <c r="B218" s="30"/>
      <c r="C218" s="35"/>
      <c r="D218" s="34"/>
      <c r="E218" s="39">
        <f>IF(A218="","",SUMIFS(Transactions!$H$2:$H$1001,Transactions!$F$2:$F$1001,A218,Transactions!$C$2:$C$1001,"issue",Transactions!$D$2:$D$1001,"&gt;="&amp;(NOW()-30)))</f>
      </c>
      <c r="F218" s="39">
        <f>IF(A218="","",COUNTIFS(Transactions!$F$2:$F$1001,A218,Transactions!$C$2:$C$1001,"loan",Transactions!$D$2:$D$1001,"&gt;="&amp;(NOW()-30)))</f>
      </c>
      <c r="G218" s="39">
        <f>IF(A218="","",COUNTIFS(Transactions!$F$2:$F$1001,A218,Transactions!$C$2:$C$1001,"unfilled",Transactions!$D$2:$D$1001,"&gt;="&amp;(NOW()-30)))</f>
      </c>
      <c r="H218" s="36"/>
    </row>
    <row r="219">
      <c r="A219" s="31"/>
      <c r="B219" s="30"/>
      <c r="C219" s="35"/>
      <c r="D219" s="34"/>
      <c r="E219" s="39">
        <f>IF(A219="","",SUMIFS(Transactions!$H$2:$H$1001,Transactions!$F$2:$F$1001,A219,Transactions!$C$2:$C$1001,"issue",Transactions!$D$2:$D$1001,"&gt;="&amp;(NOW()-30)))</f>
      </c>
      <c r="F219" s="39">
        <f>IF(A219="","",COUNTIFS(Transactions!$F$2:$F$1001,A219,Transactions!$C$2:$C$1001,"loan",Transactions!$D$2:$D$1001,"&gt;="&amp;(NOW()-30)))</f>
      </c>
      <c r="G219" s="39">
        <f>IF(A219="","",COUNTIFS(Transactions!$F$2:$F$1001,A219,Transactions!$C$2:$C$1001,"unfilled",Transactions!$D$2:$D$1001,"&gt;="&amp;(NOW()-30)))</f>
      </c>
      <c r="H219" s="36"/>
    </row>
    <row r="220">
      <c r="A220" s="31"/>
      <c r="B220" s="30"/>
      <c r="C220" s="35"/>
      <c r="D220" s="34"/>
      <c r="E220" s="39">
        <f>IF(A220="","",SUMIFS(Transactions!$H$2:$H$1001,Transactions!$F$2:$F$1001,A220,Transactions!$C$2:$C$1001,"issue",Transactions!$D$2:$D$1001,"&gt;="&amp;(NOW()-30)))</f>
      </c>
      <c r="F220" s="39">
        <f>IF(A220="","",COUNTIFS(Transactions!$F$2:$F$1001,A220,Transactions!$C$2:$C$1001,"loan",Transactions!$D$2:$D$1001,"&gt;="&amp;(NOW()-30)))</f>
      </c>
      <c r="G220" s="39">
        <f>IF(A220="","",COUNTIFS(Transactions!$F$2:$F$1001,A220,Transactions!$C$2:$C$1001,"unfilled",Transactions!$D$2:$D$1001,"&gt;="&amp;(NOW()-30)))</f>
      </c>
      <c r="H220" s="36"/>
    </row>
    <row r="221">
      <c r="A221" s="31"/>
      <c r="B221" s="30"/>
      <c r="C221" s="35"/>
      <c r="D221" s="34"/>
      <c r="E221" s="39">
        <f>IF(A221="","",SUMIFS(Transactions!$H$2:$H$1001,Transactions!$F$2:$F$1001,A221,Transactions!$C$2:$C$1001,"issue",Transactions!$D$2:$D$1001,"&gt;="&amp;(NOW()-30)))</f>
      </c>
      <c r="F221" s="39">
        <f>IF(A221="","",COUNTIFS(Transactions!$F$2:$F$1001,A221,Transactions!$C$2:$C$1001,"loan",Transactions!$D$2:$D$1001,"&gt;="&amp;(NOW()-30)))</f>
      </c>
      <c r="G221" s="39">
        <f>IF(A221="","",COUNTIFS(Transactions!$F$2:$F$1001,A221,Transactions!$C$2:$C$1001,"unfilled",Transactions!$D$2:$D$1001,"&gt;="&amp;(NOW()-30)))</f>
      </c>
      <c r="H221" s="36"/>
    </row>
    <row r="222">
      <c r="A222" s="31"/>
      <c r="B222" s="30"/>
      <c r="C222" s="35"/>
      <c r="D222" s="34"/>
      <c r="E222" s="39">
        <f>IF(A222="","",SUMIFS(Transactions!$H$2:$H$1001,Transactions!$F$2:$F$1001,A222,Transactions!$C$2:$C$1001,"issue",Transactions!$D$2:$D$1001,"&gt;="&amp;(NOW()-30)))</f>
      </c>
      <c r="F222" s="39">
        <f>IF(A222="","",COUNTIFS(Transactions!$F$2:$F$1001,A222,Transactions!$C$2:$C$1001,"loan",Transactions!$D$2:$D$1001,"&gt;="&amp;(NOW()-30)))</f>
      </c>
      <c r="G222" s="39">
        <f>IF(A222="","",COUNTIFS(Transactions!$F$2:$F$1001,A222,Transactions!$C$2:$C$1001,"unfilled",Transactions!$D$2:$D$1001,"&gt;="&amp;(NOW()-30)))</f>
      </c>
      <c r="H222" s="36"/>
    </row>
    <row r="223">
      <c r="A223" s="31"/>
      <c r="B223" s="30"/>
      <c r="C223" s="35"/>
      <c r="D223" s="34"/>
      <c r="E223" s="39">
        <f>IF(A223="","",SUMIFS(Transactions!$H$2:$H$1001,Transactions!$F$2:$F$1001,A223,Transactions!$C$2:$C$1001,"issue",Transactions!$D$2:$D$1001,"&gt;="&amp;(NOW()-30)))</f>
      </c>
      <c r="F223" s="39">
        <f>IF(A223="","",COUNTIFS(Transactions!$F$2:$F$1001,A223,Transactions!$C$2:$C$1001,"loan",Transactions!$D$2:$D$1001,"&gt;="&amp;(NOW()-30)))</f>
      </c>
      <c r="G223" s="39">
        <f>IF(A223="","",COUNTIFS(Transactions!$F$2:$F$1001,A223,Transactions!$C$2:$C$1001,"unfilled",Transactions!$D$2:$D$1001,"&gt;="&amp;(NOW()-30)))</f>
      </c>
      <c r="H223" s="36"/>
    </row>
    <row r="224">
      <c r="A224" s="31"/>
      <c r="B224" s="30"/>
      <c r="C224" s="35"/>
      <c r="D224" s="34"/>
      <c r="E224" s="39">
        <f>IF(A224="","",SUMIFS(Transactions!$H$2:$H$1001,Transactions!$F$2:$F$1001,A224,Transactions!$C$2:$C$1001,"issue",Transactions!$D$2:$D$1001,"&gt;="&amp;(NOW()-30)))</f>
      </c>
      <c r="F224" s="39">
        <f>IF(A224="","",COUNTIFS(Transactions!$F$2:$F$1001,A224,Transactions!$C$2:$C$1001,"loan",Transactions!$D$2:$D$1001,"&gt;="&amp;(NOW()-30)))</f>
      </c>
      <c r="G224" s="39">
        <f>IF(A224="","",COUNTIFS(Transactions!$F$2:$F$1001,A224,Transactions!$C$2:$C$1001,"unfilled",Transactions!$D$2:$D$1001,"&gt;="&amp;(NOW()-30)))</f>
      </c>
      <c r="H224" s="36"/>
    </row>
    <row r="225">
      <c r="A225" s="31"/>
      <c r="B225" s="30"/>
      <c r="C225" s="35"/>
      <c r="D225" s="34"/>
      <c r="E225" s="39">
        <f>IF(A225="","",SUMIFS(Transactions!$H$2:$H$1001,Transactions!$F$2:$F$1001,A225,Transactions!$C$2:$C$1001,"issue",Transactions!$D$2:$D$1001,"&gt;="&amp;(NOW()-30)))</f>
      </c>
      <c r="F225" s="39">
        <f>IF(A225="","",COUNTIFS(Transactions!$F$2:$F$1001,A225,Transactions!$C$2:$C$1001,"loan",Transactions!$D$2:$D$1001,"&gt;="&amp;(NOW()-30)))</f>
      </c>
      <c r="G225" s="39">
        <f>IF(A225="","",COUNTIFS(Transactions!$F$2:$F$1001,A225,Transactions!$C$2:$C$1001,"unfilled",Transactions!$D$2:$D$1001,"&gt;="&amp;(NOW()-30)))</f>
      </c>
      <c r="H225" s="36"/>
    </row>
    <row r="226">
      <c r="A226" s="31"/>
      <c r="B226" s="30"/>
      <c r="C226" s="35"/>
      <c r="D226" s="34"/>
      <c r="E226" s="39">
        <f>IF(A226="","",SUMIFS(Transactions!$H$2:$H$1001,Transactions!$F$2:$F$1001,A226,Transactions!$C$2:$C$1001,"issue",Transactions!$D$2:$D$1001,"&gt;="&amp;(NOW()-30)))</f>
      </c>
      <c r="F226" s="39">
        <f>IF(A226="","",COUNTIFS(Transactions!$F$2:$F$1001,A226,Transactions!$C$2:$C$1001,"loan",Transactions!$D$2:$D$1001,"&gt;="&amp;(NOW()-30)))</f>
      </c>
      <c r="G226" s="39">
        <f>IF(A226="","",COUNTIFS(Transactions!$F$2:$F$1001,A226,Transactions!$C$2:$C$1001,"unfilled",Transactions!$D$2:$D$1001,"&gt;="&amp;(NOW()-30)))</f>
      </c>
      <c r="H226" s="36"/>
    </row>
    <row r="227">
      <c r="A227" s="31"/>
      <c r="B227" s="30"/>
      <c r="C227" s="35"/>
      <c r="D227" s="34"/>
      <c r="E227" s="39">
        <f>IF(A227="","",SUMIFS(Transactions!$H$2:$H$1001,Transactions!$F$2:$F$1001,A227,Transactions!$C$2:$C$1001,"issue",Transactions!$D$2:$D$1001,"&gt;="&amp;(NOW()-30)))</f>
      </c>
      <c r="F227" s="39">
        <f>IF(A227="","",COUNTIFS(Transactions!$F$2:$F$1001,A227,Transactions!$C$2:$C$1001,"loan",Transactions!$D$2:$D$1001,"&gt;="&amp;(NOW()-30)))</f>
      </c>
      <c r="G227" s="39">
        <f>IF(A227="","",COUNTIFS(Transactions!$F$2:$F$1001,A227,Transactions!$C$2:$C$1001,"unfilled",Transactions!$D$2:$D$1001,"&gt;="&amp;(NOW()-30)))</f>
      </c>
      <c r="H227" s="36"/>
    </row>
    <row r="228">
      <c r="A228" s="31"/>
      <c r="B228" s="30"/>
      <c r="C228" s="35"/>
      <c r="D228" s="34"/>
      <c r="E228" s="39">
        <f>IF(A228="","",SUMIFS(Transactions!$H$2:$H$1001,Transactions!$F$2:$F$1001,A228,Transactions!$C$2:$C$1001,"issue",Transactions!$D$2:$D$1001,"&gt;="&amp;(NOW()-30)))</f>
      </c>
      <c r="F228" s="39">
        <f>IF(A228="","",COUNTIFS(Transactions!$F$2:$F$1001,A228,Transactions!$C$2:$C$1001,"loan",Transactions!$D$2:$D$1001,"&gt;="&amp;(NOW()-30)))</f>
      </c>
      <c r="G228" s="39">
        <f>IF(A228="","",COUNTIFS(Transactions!$F$2:$F$1001,A228,Transactions!$C$2:$C$1001,"unfilled",Transactions!$D$2:$D$1001,"&gt;="&amp;(NOW()-30)))</f>
      </c>
      <c r="H228" s="36"/>
    </row>
    <row r="229">
      <c r="A229" s="31"/>
      <c r="B229" s="30"/>
      <c r="C229" s="35"/>
      <c r="D229" s="34"/>
      <c r="E229" s="39">
        <f>IF(A229="","",SUMIFS(Transactions!$H$2:$H$1001,Transactions!$F$2:$F$1001,A229,Transactions!$C$2:$C$1001,"issue",Transactions!$D$2:$D$1001,"&gt;="&amp;(NOW()-30)))</f>
      </c>
      <c r="F229" s="39">
        <f>IF(A229="","",COUNTIFS(Transactions!$F$2:$F$1001,A229,Transactions!$C$2:$C$1001,"loan",Transactions!$D$2:$D$1001,"&gt;="&amp;(NOW()-30)))</f>
      </c>
      <c r="G229" s="39">
        <f>IF(A229="","",COUNTIFS(Transactions!$F$2:$F$1001,A229,Transactions!$C$2:$C$1001,"unfilled",Transactions!$D$2:$D$1001,"&gt;="&amp;(NOW()-30)))</f>
      </c>
      <c r="H229" s="36"/>
    </row>
    <row r="230">
      <c r="A230" s="31"/>
      <c r="B230" s="30"/>
      <c r="C230" s="35"/>
      <c r="D230" s="34"/>
      <c r="E230" s="39">
        <f>IF(A230="","",SUMIFS(Transactions!$H$2:$H$1001,Transactions!$F$2:$F$1001,A230,Transactions!$C$2:$C$1001,"issue",Transactions!$D$2:$D$1001,"&gt;="&amp;(NOW()-30)))</f>
      </c>
      <c r="F230" s="39">
        <f>IF(A230="","",COUNTIFS(Transactions!$F$2:$F$1001,A230,Transactions!$C$2:$C$1001,"loan",Transactions!$D$2:$D$1001,"&gt;="&amp;(NOW()-30)))</f>
      </c>
      <c r="G230" s="39">
        <f>IF(A230="","",COUNTIFS(Transactions!$F$2:$F$1001,A230,Transactions!$C$2:$C$1001,"unfilled",Transactions!$D$2:$D$1001,"&gt;="&amp;(NOW()-30)))</f>
      </c>
      <c r="H230" s="36"/>
    </row>
    <row r="231">
      <c r="A231" s="31"/>
      <c r="B231" s="30"/>
      <c r="C231" s="35"/>
      <c r="D231" s="34"/>
      <c r="E231" s="39">
        <f>IF(A231="","",SUMIFS(Transactions!$H$2:$H$1001,Transactions!$F$2:$F$1001,A231,Transactions!$C$2:$C$1001,"issue",Transactions!$D$2:$D$1001,"&gt;="&amp;(NOW()-30)))</f>
      </c>
      <c r="F231" s="39">
        <f>IF(A231="","",COUNTIFS(Transactions!$F$2:$F$1001,A231,Transactions!$C$2:$C$1001,"loan",Transactions!$D$2:$D$1001,"&gt;="&amp;(NOW()-30)))</f>
      </c>
      <c r="G231" s="39">
        <f>IF(A231="","",COUNTIFS(Transactions!$F$2:$F$1001,A231,Transactions!$C$2:$C$1001,"unfilled",Transactions!$D$2:$D$1001,"&gt;="&amp;(NOW()-30)))</f>
      </c>
      <c r="H231" s="36"/>
    </row>
    <row r="232">
      <c r="A232" s="31"/>
      <c r="B232" s="30"/>
      <c r="C232" s="35"/>
      <c r="D232" s="34"/>
      <c r="E232" s="39">
        <f>IF(A232="","",SUMIFS(Transactions!$H$2:$H$1001,Transactions!$F$2:$F$1001,A232,Transactions!$C$2:$C$1001,"issue",Transactions!$D$2:$D$1001,"&gt;="&amp;(NOW()-30)))</f>
      </c>
      <c r="F232" s="39">
        <f>IF(A232="","",COUNTIFS(Transactions!$F$2:$F$1001,A232,Transactions!$C$2:$C$1001,"loan",Transactions!$D$2:$D$1001,"&gt;="&amp;(NOW()-30)))</f>
      </c>
      <c r="G232" s="39">
        <f>IF(A232="","",COUNTIFS(Transactions!$F$2:$F$1001,A232,Transactions!$C$2:$C$1001,"unfilled",Transactions!$D$2:$D$1001,"&gt;="&amp;(NOW()-30)))</f>
      </c>
      <c r="H232" s="36"/>
    </row>
    <row r="233">
      <c r="A233" s="31"/>
      <c r="B233" s="30"/>
      <c r="C233" s="35"/>
      <c r="D233" s="34"/>
      <c r="E233" s="39">
        <f>IF(A233="","",SUMIFS(Transactions!$H$2:$H$1001,Transactions!$F$2:$F$1001,A233,Transactions!$C$2:$C$1001,"issue",Transactions!$D$2:$D$1001,"&gt;="&amp;(NOW()-30)))</f>
      </c>
      <c r="F233" s="39">
        <f>IF(A233="","",COUNTIFS(Transactions!$F$2:$F$1001,A233,Transactions!$C$2:$C$1001,"loan",Transactions!$D$2:$D$1001,"&gt;="&amp;(NOW()-30)))</f>
      </c>
      <c r="G233" s="39">
        <f>IF(A233="","",COUNTIFS(Transactions!$F$2:$F$1001,A233,Transactions!$C$2:$C$1001,"unfilled",Transactions!$D$2:$D$1001,"&gt;="&amp;(NOW()-30)))</f>
      </c>
      <c r="H233" s="36"/>
    </row>
    <row r="234">
      <c r="A234" s="31"/>
      <c r="B234" s="30"/>
      <c r="C234" s="35"/>
      <c r="D234" s="34"/>
      <c r="E234" s="39">
        <f>IF(A234="","",SUMIFS(Transactions!$H$2:$H$1001,Transactions!$F$2:$F$1001,A234,Transactions!$C$2:$C$1001,"issue",Transactions!$D$2:$D$1001,"&gt;="&amp;(NOW()-30)))</f>
      </c>
      <c r="F234" s="39">
        <f>IF(A234="","",COUNTIFS(Transactions!$F$2:$F$1001,A234,Transactions!$C$2:$C$1001,"loan",Transactions!$D$2:$D$1001,"&gt;="&amp;(NOW()-30)))</f>
      </c>
      <c r="G234" s="39">
        <f>IF(A234="","",COUNTIFS(Transactions!$F$2:$F$1001,A234,Transactions!$C$2:$C$1001,"unfilled",Transactions!$D$2:$D$1001,"&gt;="&amp;(NOW()-30)))</f>
      </c>
      <c r="H234" s="36"/>
    </row>
    <row r="235">
      <c r="A235" s="31"/>
      <c r="B235" s="30"/>
      <c r="C235" s="35"/>
      <c r="D235" s="34"/>
      <c r="E235" s="39">
        <f>IF(A235="","",SUMIFS(Transactions!$H$2:$H$1001,Transactions!$F$2:$F$1001,A235,Transactions!$C$2:$C$1001,"issue",Transactions!$D$2:$D$1001,"&gt;="&amp;(NOW()-30)))</f>
      </c>
      <c r="F235" s="39">
        <f>IF(A235="","",COUNTIFS(Transactions!$F$2:$F$1001,A235,Transactions!$C$2:$C$1001,"loan",Transactions!$D$2:$D$1001,"&gt;="&amp;(NOW()-30)))</f>
      </c>
      <c r="G235" s="39">
        <f>IF(A235="","",COUNTIFS(Transactions!$F$2:$F$1001,A235,Transactions!$C$2:$C$1001,"unfilled",Transactions!$D$2:$D$1001,"&gt;="&amp;(NOW()-30)))</f>
      </c>
      <c r="H235" s="36"/>
    </row>
    <row r="236">
      <c r="A236" s="31"/>
      <c r="B236" s="30"/>
      <c r="C236" s="35"/>
      <c r="D236" s="34"/>
      <c r="E236" s="39">
        <f>IF(A236="","",SUMIFS(Transactions!$H$2:$H$1001,Transactions!$F$2:$F$1001,A236,Transactions!$C$2:$C$1001,"issue",Transactions!$D$2:$D$1001,"&gt;="&amp;(NOW()-30)))</f>
      </c>
      <c r="F236" s="39">
        <f>IF(A236="","",COUNTIFS(Transactions!$F$2:$F$1001,A236,Transactions!$C$2:$C$1001,"loan",Transactions!$D$2:$D$1001,"&gt;="&amp;(NOW()-30)))</f>
      </c>
      <c r="G236" s="39">
        <f>IF(A236="","",COUNTIFS(Transactions!$F$2:$F$1001,A236,Transactions!$C$2:$C$1001,"unfilled",Transactions!$D$2:$D$1001,"&gt;="&amp;(NOW()-30)))</f>
      </c>
      <c r="H236" s="36"/>
    </row>
    <row r="237">
      <c r="A237" s="31"/>
      <c r="B237" s="30"/>
      <c r="C237" s="35"/>
      <c r="D237" s="34"/>
      <c r="E237" s="39">
        <f>IF(A237="","",SUMIFS(Transactions!$H$2:$H$1001,Transactions!$F$2:$F$1001,A237,Transactions!$C$2:$C$1001,"issue",Transactions!$D$2:$D$1001,"&gt;="&amp;(NOW()-30)))</f>
      </c>
      <c r="F237" s="39">
        <f>IF(A237="","",COUNTIFS(Transactions!$F$2:$F$1001,A237,Transactions!$C$2:$C$1001,"loan",Transactions!$D$2:$D$1001,"&gt;="&amp;(NOW()-30)))</f>
      </c>
      <c r="G237" s="39">
        <f>IF(A237="","",COUNTIFS(Transactions!$F$2:$F$1001,A237,Transactions!$C$2:$C$1001,"unfilled",Transactions!$D$2:$D$1001,"&gt;="&amp;(NOW()-30)))</f>
      </c>
      <c r="H237" s="36"/>
    </row>
    <row r="238">
      <c r="A238" s="31"/>
      <c r="B238" s="30"/>
      <c r="C238" s="35"/>
      <c r="D238" s="34"/>
      <c r="E238" s="39">
        <f>IF(A238="","",SUMIFS(Transactions!$H$2:$H$1001,Transactions!$F$2:$F$1001,A238,Transactions!$C$2:$C$1001,"issue",Transactions!$D$2:$D$1001,"&gt;="&amp;(NOW()-30)))</f>
      </c>
      <c r="F238" s="39">
        <f>IF(A238="","",COUNTIFS(Transactions!$F$2:$F$1001,A238,Transactions!$C$2:$C$1001,"loan",Transactions!$D$2:$D$1001,"&gt;="&amp;(NOW()-30)))</f>
      </c>
      <c r="G238" s="39">
        <f>IF(A238="","",COUNTIFS(Transactions!$F$2:$F$1001,A238,Transactions!$C$2:$C$1001,"unfilled",Transactions!$D$2:$D$1001,"&gt;="&amp;(NOW()-30)))</f>
      </c>
      <c r="H238" s="36"/>
    </row>
    <row r="239">
      <c r="A239" s="31"/>
      <c r="B239" s="30"/>
      <c r="C239" s="35"/>
      <c r="D239" s="34"/>
      <c r="E239" s="39">
        <f>IF(A239="","",SUMIFS(Transactions!$H$2:$H$1001,Transactions!$F$2:$F$1001,A239,Transactions!$C$2:$C$1001,"issue",Transactions!$D$2:$D$1001,"&gt;="&amp;(NOW()-30)))</f>
      </c>
      <c r="F239" s="39">
        <f>IF(A239="","",COUNTIFS(Transactions!$F$2:$F$1001,A239,Transactions!$C$2:$C$1001,"loan",Transactions!$D$2:$D$1001,"&gt;="&amp;(NOW()-30)))</f>
      </c>
      <c r="G239" s="39">
        <f>IF(A239="","",COUNTIFS(Transactions!$F$2:$F$1001,A239,Transactions!$C$2:$C$1001,"unfilled",Transactions!$D$2:$D$1001,"&gt;="&amp;(NOW()-30)))</f>
      </c>
      <c r="H239" s="36"/>
    </row>
    <row r="240">
      <c r="A240" s="31"/>
      <c r="B240" s="30"/>
      <c r="C240" s="35"/>
      <c r="D240" s="34"/>
      <c r="E240" s="39">
        <f>IF(A240="","",SUMIFS(Transactions!$H$2:$H$1001,Transactions!$F$2:$F$1001,A240,Transactions!$C$2:$C$1001,"issue",Transactions!$D$2:$D$1001,"&gt;="&amp;(NOW()-30)))</f>
      </c>
      <c r="F240" s="39">
        <f>IF(A240="","",COUNTIFS(Transactions!$F$2:$F$1001,A240,Transactions!$C$2:$C$1001,"loan",Transactions!$D$2:$D$1001,"&gt;="&amp;(NOW()-30)))</f>
      </c>
      <c r="G240" s="39">
        <f>IF(A240="","",COUNTIFS(Transactions!$F$2:$F$1001,A240,Transactions!$C$2:$C$1001,"unfilled",Transactions!$D$2:$D$1001,"&gt;="&amp;(NOW()-30)))</f>
      </c>
      <c r="H240" s="36"/>
    </row>
    <row r="241">
      <c r="A241" s="31"/>
      <c r="B241" s="30"/>
      <c r="C241" s="35"/>
      <c r="D241" s="34"/>
      <c r="E241" s="39">
        <f>IF(A241="","",SUMIFS(Transactions!$H$2:$H$1001,Transactions!$F$2:$F$1001,A241,Transactions!$C$2:$C$1001,"issue",Transactions!$D$2:$D$1001,"&gt;="&amp;(NOW()-30)))</f>
      </c>
      <c r="F241" s="39">
        <f>IF(A241="","",COUNTIFS(Transactions!$F$2:$F$1001,A241,Transactions!$C$2:$C$1001,"loan",Transactions!$D$2:$D$1001,"&gt;="&amp;(NOW()-30)))</f>
      </c>
      <c r="G241" s="39">
        <f>IF(A241="","",COUNTIFS(Transactions!$F$2:$F$1001,A241,Transactions!$C$2:$C$1001,"unfilled",Transactions!$D$2:$D$1001,"&gt;="&amp;(NOW()-30)))</f>
      </c>
      <c r="H241" s="36"/>
    </row>
    <row r="242">
      <c r="A242" s="31"/>
      <c r="B242" s="30"/>
      <c r="C242" s="35"/>
      <c r="D242" s="34"/>
      <c r="E242" s="39">
        <f>IF(A242="","",SUMIFS(Transactions!$H$2:$H$1001,Transactions!$F$2:$F$1001,A242,Transactions!$C$2:$C$1001,"issue",Transactions!$D$2:$D$1001,"&gt;="&amp;(NOW()-30)))</f>
      </c>
      <c r="F242" s="39">
        <f>IF(A242="","",COUNTIFS(Transactions!$F$2:$F$1001,A242,Transactions!$C$2:$C$1001,"loan",Transactions!$D$2:$D$1001,"&gt;="&amp;(NOW()-30)))</f>
      </c>
      <c r="G242" s="39">
        <f>IF(A242="","",COUNTIFS(Transactions!$F$2:$F$1001,A242,Transactions!$C$2:$C$1001,"unfilled",Transactions!$D$2:$D$1001,"&gt;="&amp;(NOW()-30)))</f>
      </c>
      <c r="H242" s="36"/>
    </row>
    <row r="243">
      <c r="A243" s="31"/>
      <c r="B243" s="30"/>
      <c r="C243" s="35"/>
      <c r="D243" s="34"/>
      <c r="E243" s="39">
        <f>IF(A243="","",SUMIFS(Transactions!$H$2:$H$1001,Transactions!$F$2:$F$1001,A243,Transactions!$C$2:$C$1001,"issue",Transactions!$D$2:$D$1001,"&gt;="&amp;(NOW()-30)))</f>
      </c>
      <c r="F243" s="39">
        <f>IF(A243="","",COUNTIFS(Transactions!$F$2:$F$1001,A243,Transactions!$C$2:$C$1001,"loan",Transactions!$D$2:$D$1001,"&gt;="&amp;(NOW()-30)))</f>
      </c>
      <c r="G243" s="39">
        <f>IF(A243="","",COUNTIFS(Transactions!$F$2:$F$1001,A243,Transactions!$C$2:$C$1001,"unfilled",Transactions!$D$2:$D$1001,"&gt;="&amp;(NOW()-30)))</f>
      </c>
      <c r="H243" s="36"/>
    </row>
    <row r="244">
      <c r="A244" s="31"/>
      <c r="B244" s="30"/>
      <c r="C244" s="35"/>
      <c r="D244" s="34"/>
      <c r="E244" s="39">
        <f>IF(A244="","",SUMIFS(Transactions!$H$2:$H$1001,Transactions!$F$2:$F$1001,A244,Transactions!$C$2:$C$1001,"issue",Transactions!$D$2:$D$1001,"&gt;="&amp;(NOW()-30)))</f>
      </c>
      <c r="F244" s="39">
        <f>IF(A244="","",COUNTIFS(Transactions!$F$2:$F$1001,A244,Transactions!$C$2:$C$1001,"loan",Transactions!$D$2:$D$1001,"&gt;="&amp;(NOW()-30)))</f>
      </c>
      <c r="G244" s="39">
        <f>IF(A244="","",COUNTIFS(Transactions!$F$2:$F$1001,A244,Transactions!$C$2:$C$1001,"unfilled",Transactions!$D$2:$D$1001,"&gt;="&amp;(NOW()-30)))</f>
      </c>
      <c r="H244" s="36"/>
    </row>
    <row r="245">
      <c r="A245" s="31"/>
      <c r="B245" s="30"/>
      <c r="C245" s="35"/>
      <c r="D245" s="34"/>
      <c r="E245" s="39">
        <f>IF(A245="","",SUMIFS(Transactions!$H$2:$H$1001,Transactions!$F$2:$F$1001,A245,Transactions!$C$2:$C$1001,"issue",Transactions!$D$2:$D$1001,"&gt;="&amp;(NOW()-30)))</f>
      </c>
      <c r="F245" s="39">
        <f>IF(A245="","",COUNTIFS(Transactions!$F$2:$F$1001,A245,Transactions!$C$2:$C$1001,"loan",Transactions!$D$2:$D$1001,"&gt;="&amp;(NOW()-30)))</f>
      </c>
      <c r="G245" s="39">
        <f>IF(A245="","",COUNTIFS(Transactions!$F$2:$F$1001,A245,Transactions!$C$2:$C$1001,"unfilled",Transactions!$D$2:$D$1001,"&gt;="&amp;(NOW()-30)))</f>
      </c>
      <c r="H245" s="36"/>
    </row>
    <row r="246">
      <c r="A246" s="31"/>
      <c r="B246" s="30"/>
      <c r="C246" s="35"/>
      <c r="D246" s="34"/>
      <c r="E246" s="39">
        <f>IF(A246="","",SUMIFS(Transactions!$H$2:$H$1001,Transactions!$F$2:$F$1001,A246,Transactions!$C$2:$C$1001,"issue",Transactions!$D$2:$D$1001,"&gt;="&amp;(NOW()-30)))</f>
      </c>
      <c r="F246" s="39">
        <f>IF(A246="","",COUNTIFS(Transactions!$F$2:$F$1001,A246,Transactions!$C$2:$C$1001,"loan",Transactions!$D$2:$D$1001,"&gt;="&amp;(NOW()-30)))</f>
      </c>
      <c r="G246" s="39">
        <f>IF(A246="","",COUNTIFS(Transactions!$F$2:$F$1001,A246,Transactions!$C$2:$C$1001,"unfilled",Transactions!$D$2:$D$1001,"&gt;="&amp;(NOW()-30)))</f>
      </c>
      <c r="H246" s="36"/>
    </row>
    <row r="247">
      <c r="A247" s="31"/>
      <c r="B247" s="30"/>
      <c r="C247" s="35"/>
      <c r="D247" s="34"/>
      <c r="E247" s="39">
        <f>IF(A247="","",SUMIFS(Transactions!$H$2:$H$1001,Transactions!$F$2:$F$1001,A247,Transactions!$C$2:$C$1001,"issue",Transactions!$D$2:$D$1001,"&gt;="&amp;(NOW()-30)))</f>
      </c>
      <c r="F247" s="39">
        <f>IF(A247="","",COUNTIFS(Transactions!$F$2:$F$1001,A247,Transactions!$C$2:$C$1001,"loan",Transactions!$D$2:$D$1001,"&gt;="&amp;(NOW()-30)))</f>
      </c>
      <c r="G247" s="39">
        <f>IF(A247="","",COUNTIFS(Transactions!$F$2:$F$1001,A247,Transactions!$C$2:$C$1001,"unfilled",Transactions!$D$2:$D$1001,"&gt;="&amp;(NOW()-30)))</f>
      </c>
      <c r="H247" s="36"/>
    </row>
    <row r="248">
      <c r="A248" s="31"/>
      <c r="B248" s="30"/>
      <c r="C248" s="35"/>
      <c r="D248" s="34"/>
      <c r="E248" s="39">
        <f>IF(A248="","",SUMIFS(Transactions!$H$2:$H$1001,Transactions!$F$2:$F$1001,A248,Transactions!$C$2:$C$1001,"issue",Transactions!$D$2:$D$1001,"&gt;="&amp;(NOW()-30)))</f>
      </c>
      <c r="F248" s="39">
        <f>IF(A248="","",COUNTIFS(Transactions!$F$2:$F$1001,A248,Transactions!$C$2:$C$1001,"loan",Transactions!$D$2:$D$1001,"&gt;="&amp;(NOW()-30)))</f>
      </c>
      <c r="G248" s="39">
        <f>IF(A248="","",COUNTIFS(Transactions!$F$2:$F$1001,A248,Transactions!$C$2:$C$1001,"unfilled",Transactions!$D$2:$D$1001,"&gt;="&amp;(NOW()-30)))</f>
      </c>
      <c r="H248" s="36"/>
    </row>
    <row r="249">
      <c r="A249" s="31"/>
      <c r="B249" s="30"/>
      <c r="C249" s="35"/>
      <c r="D249" s="34"/>
      <c r="E249" s="39">
        <f>IF(A249="","",SUMIFS(Transactions!$H$2:$H$1001,Transactions!$F$2:$F$1001,A249,Transactions!$C$2:$C$1001,"issue",Transactions!$D$2:$D$1001,"&gt;="&amp;(NOW()-30)))</f>
      </c>
      <c r="F249" s="39">
        <f>IF(A249="","",COUNTIFS(Transactions!$F$2:$F$1001,A249,Transactions!$C$2:$C$1001,"loan",Transactions!$D$2:$D$1001,"&gt;="&amp;(NOW()-30)))</f>
      </c>
      <c r="G249" s="39">
        <f>IF(A249="","",COUNTIFS(Transactions!$F$2:$F$1001,A249,Transactions!$C$2:$C$1001,"unfilled",Transactions!$D$2:$D$1001,"&gt;="&amp;(NOW()-30)))</f>
      </c>
      <c r="H249" s="36"/>
    </row>
    <row r="250">
      <c r="A250" s="31"/>
      <c r="B250" s="30"/>
      <c r="C250" s="35"/>
      <c r="D250" s="34"/>
      <c r="E250" s="39">
        <f>IF(A250="","",SUMIFS(Transactions!$H$2:$H$1001,Transactions!$F$2:$F$1001,A250,Transactions!$C$2:$C$1001,"issue",Transactions!$D$2:$D$1001,"&gt;="&amp;(NOW()-30)))</f>
      </c>
      <c r="F250" s="39">
        <f>IF(A250="","",COUNTIFS(Transactions!$F$2:$F$1001,A250,Transactions!$C$2:$C$1001,"loan",Transactions!$D$2:$D$1001,"&gt;="&amp;(NOW()-30)))</f>
      </c>
      <c r="G250" s="39">
        <f>IF(A250="","",COUNTIFS(Transactions!$F$2:$F$1001,A250,Transactions!$C$2:$C$1001,"unfilled",Transactions!$D$2:$D$1001,"&gt;="&amp;(NOW()-30)))</f>
      </c>
      <c r="H250" s="36"/>
    </row>
    <row r="251">
      <c r="A251" s="31"/>
      <c r="B251" s="30"/>
      <c r="C251" s="35"/>
      <c r="D251" s="34"/>
      <c r="E251" s="39">
        <f>IF(A251="","",SUMIFS(Transactions!$H$2:$H$1001,Transactions!$F$2:$F$1001,A251,Transactions!$C$2:$C$1001,"issue",Transactions!$D$2:$D$1001,"&gt;="&amp;(NOW()-30)))</f>
      </c>
      <c r="F251" s="39">
        <f>IF(A251="","",COUNTIFS(Transactions!$F$2:$F$1001,A251,Transactions!$C$2:$C$1001,"loan",Transactions!$D$2:$D$1001,"&gt;="&amp;(NOW()-30)))</f>
      </c>
      <c r="G251" s="39">
        <f>IF(A251="","",COUNTIFS(Transactions!$F$2:$F$1001,A251,Transactions!$C$2:$C$1001,"unfilled",Transactions!$D$2:$D$1001,"&gt;="&amp;(NOW()-30)))</f>
      </c>
      <c r="H251" s="36"/>
    </row>
    <row r="252">
      <c r="A252" s="31"/>
      <c r="B252" s="30"/>
      <c r="C252" s="35"/>
      <c r="D252" s="34"/>
      <c r="E252" s="39">
        <f>IF(A252="","",SUMIFS(Transactions!$H$2:$H$1001,Transactions!$F$2:$F$1001,A252,Transactions!$C$2:$C$1001,"issue",Transactions!$D$2:$D$1001,"&gt;="&amp;(NOW()-30)))</f>
      </c>
      <c r="F252" s="39">
        <f>IF(A252="","",COUNTIFS(Transactions!$F$2:$F$1001,A252,Transactions!$C$2:$C$1001,"loan",Transactions!$D$2:$D$1001,"&gt;="&amp;(NOW()-30)))</f>
      </c>
      <c r="G252" s="39">
        <f>IF(A252="","",COUNTIFS(Transactions!$F$2:$F$1001,A252,Transactions!$C$2:$C$1001,"unfilled",Transactions!$D$2:$D$1001,"&gt;="&amp;(NOW()-30)))</f>
      </c>
      <c r="H252" s="36"/>
    </row>
    <row r="253">
      <c r="A253" s="31"/>
      <c r="B253" s="30"/>
      <c r="C253" s="35"/>
      <c r="D253" s="34"/>
      <c r="E253" s="39">
        <f>IF(A253="","",SUMIFS(Transactions!$H$2:$H$1001,Transactions!$F$2:$F$1001,A253,Transactions!$C$2:$C$1001,"issue",Transactions!$D$2:$D$1001,"&gt;="&amp;(NOW()-30)))</f>
      </c>
      <c r="F253" s="39">
        <f>IF(A253="","",COUNTIFS(Transactions!$F$2:$F$1001,A253,Transactions!$C$2:$C$1001,"loan",Transactions!$D$2:$D$1001,"&gt;="&amp;(NOW()-30)))</f>
      </c>
      <c r="G253" s="39">
        <f>IF(A253="","",COUNTIFS(Transactions!$F$2:$F$1001,A253,Transactions!$C$2:$C$1001,"unfilled",Transactions!$D$2:$D$1001,"&gt;="&amp;(NOW()-30)))</f>
      </c>
      <c r="H253" s="36"/>
    </row>
    <row r="254">
      <c r="A254" s="31"/>
      <c r="B254" s="30"/>
      <c r="C254" s="35"/>
      <c r="D254" s="34"/>
      <c r="E254" s="39">
        <f>IF(A254="","",SUMIFS(Transactions!$H$2:$H$1001,Transactions!$F$2:$F$1001,A254,Transactions!$C$2:$C$1001,"issue",Transactions!$D$2:$D$1001,"&gt;="&amp;(NOW()-30)))</f>
      </c>
      <c r="F254" s="39">
        <f>IF(A254="","",COUNTIFS(Transactions!$F$2:$F$1001,A254,Transactions!$C$2:$C$1001,"loan",Transactions!$D$2:$D$1001,"&gt;="&amp;(NOW()-30)))</f>
      </c>
      <c r="G254" s="39">
        <f>IF(A254="","",COUNTIFS(Transactions!$F$2:$F$1001,A254,Transactions!$C$2:$C$1001,"unfilled",Transactions!$D$2:$D$1001,"&gt;="&amp;(NOW()-30)))</f>
      </c>
      <c r="H254" s="36"/>
    </row>
    <row r="255">
      <c r="A255" s="31"/>
      <c r="B255" s="30"/>
      <c r="C255" s="35"/>
      <c r="D255" s="34"/>
      <c r="E255" s="39">
        <f>IF(A255="","",SUMIFS(Transactions!$H$2:$H$1001,Transactions!$F$2:$F$1001,A255,Transactions!$C$2:$C$1001,"issue",Transactions!$D$2:$D$1001,"&gt;="&amp;(NOW()-30)))</f>
      </c>
      <c r="F255" s="39">
        <f>IF(A255="","",COUNTIFS(Transactions!$F$2:$F$1001,A255,Transactions!$C$2:$C$1001,"loan",Transactions!$D$2:$D$1001,"&gt;="&amp;(NOW()-30)))</f>
      </c>
      <c r="G255" s="39">
        <f>IF(A255="","",COUNTIFS(Transactions!$F$2:$F$1001,A255,Transactions!$C$2:$C$1001,"unfilled",Transactions!$D$2:$D$1001,"&gt;="&amp;(NOW()-30)))</f>
      </c>
      <c r="H255" s="36"/>
    </row>
    <row r="256">
      <c r="A256" s="31"/>
      <c r="B256" s="30"/>
      <c r="C256" s="35"/>
      <c r="D256" s="34"/>
      <c r="E256" s="39">
        <f>IF(A256="","",SUMIFS(Transactions!$H$2:$H$1001,Transactions!$F$2:$F$1001,A256,Transactions!$C$2:$C$1001,"issue",Transactions!$D$2:$D$1001,"&gt;="&amp;(NOW()-30)))</f>
      </c>
      <c r="F256" s="39">
        <f>IF(A256="","",COUNTIFS(Transactions!$F$2:$F$1001,A256,Transactions!$C$2:$C$1001,"loan",Transactions!$D$2:$D$1001,"&gt;="&amp;(NOW()-30)))</f>
      </c>
      <c r="G256" s="39">
        <f>IF(A256="","",COUNTIFS(Transactions!$F$2:$F$1001,A256,Transactions!$C$2:$C$1001,"unfilled",Transactions!$D$2:$D$1001,"&gt;="&amp;(NOW()-30)))</f>
      </c>
      <c r="H256" s="36"/>
    </row>
    <row r="257">
      <c r="A257" s="31"/>
      <c r="B257" s="30"/>
      <c r="C257" s="35"/>
      <c r="D257" s="34"/>
      <c r="E257" s="39">
        <f>IF(A257="","",SUMIFS(Transactions!$H$2:$H$1001,Transactions!$F$2:$F$1001,A257,Transactions!$C$2:$C$1001,"issue",Transactions!$D$2:$D$1001,"&gt;="&amp;(NOW()-30)))</f>
      </c>
      <c r="F257" s="39">
        <f>IF(A257="","",COUNTIFS(Transactions!$F$2:$F$1001,A257,Transactions!$C$2:$C$1001,"loan",Transactions!$D$2:$D$1001,"&gt;="&amp;(NOW()-30)))</f>
      </c>
      <c r="G257" s="39">
        <f>IF(A257="","",COUNTIFS(Transactions!$F$2:$F$1001,A257,Transactions!$C$2:$C$1001,"unfilled",Transactions!$D$2:$D$1001,"&gt;="&amp;(NOW()-30)))</f>
      </c>
      <c r="H257" s="36"/>
    </row>
    <row r="258">
      <c r="A258" s="31"/>
      <c r="B258" s="30"/>
      <c r="C258" s="35"/>
      <c r="D258" s="34"/>
      <c r="E258" s="39">
        <f>IF(A258="","",SUMIFS(Transactions!$H$2:$H$1001,Transactions!$F$2:$F$1001,A258,Transactions!$C$2:$C$1001,"issue",Transactions!$D$2:$D$1001,"&gt;="&amp;(NOW()-30)))</f>
      </c>
      <c r="F258" s="39">
        <f>IF(A258="","",COUNTIFS(Transactions!$F$2:$F$1001,A258,Transactions!$C$2:$C$1001,"loan",Transactions!$D$2:$D$1001,"&gt;="&amp;(NOW()-30)))</f>
      </c>
      <c r="G258" s="39">
        <f>IF(A258="","",COUNTIFS(Transactions!$F$2:$F$1001,A258,Transactions!$C$2:$C$1001,"unfilled",Transactions!$D$2:$D$1001,"&gt;="&amp;(NOW()-30)))</f>
      </c>
      <c r="H258" s="36"/>
    </row>
    <row r="259">
      <c r="A259" s="31"/>
      <c r="B259" s="30"/>
      <c r="C259" s="35"/>
      <c r="D259" s="34"/>
      <c r="E259" s="39">
        <f>IF(A259="","",SUMIFS(Transactions!$H$2:$H$1001,Transactions!$F$2:$F$1001,A259,Transactions!$C$2:$C$1001,"issue",Transactions!$D$2:$D$1001,"&gt;="&amp;(NOW()-30)))</f>
      </c>
      <c r="F259" s="39">
        <f>IF(A259="","",COUNTIFS(Transactions!$F$2:$F$1001,A259,Transactions!$C$2:$C$1001,"loan",Transactions!$D$2:$D$1001,"&gt;="&amp;(NOW()-30)))</f>
      </c>
      <c r="G259" s="39">
        <f>IF(A259="","",COUNTIFS(Transactions!$F$2:$F$1001,A259,Transactions!$C$2:$C$1001,"unfilled",Transactions!$D$2:$D$1001,"&gt;="&amp;(NOW()-30)))</f>
      </c>
      <c r="H259" s="36"/>
    </row>
    <row r="260">
      <c r="A260" s="31"/>
      <c r="B260" s="30"/>
      <c r="C260" s="35"/>
      <c r="D260" s="34"/>
      <c r="E260" s="39">
        <f>IF(A260="","",SUMIFS(Transactions!$H$2:$H$1001,Transactions!$F$2:$F$1001,A260,Transactions!$C$2:$C$1001,"issue",Transactions!$D$2:$D$1001,"&gt;="&amp;(NOW()-30)))</f>
      </c>
      <c r="F260" s="39">
        <f>IF(A260="","",COUNTIFS(Transactions!$F$2:$F$1001,A260,Transactions!$C$2:$C$1001,"loan",Transactions!$D$2:$D$1001,"&gt;="&amp;(NOW()-30)))</f>
      </c>
      <c r="G260" s="39">
        <f>IF(A260="","",COUNTIFS(Transactions!$F$2:$F$1001,A260,Transactions!$C$2:$C$1001,"unfilled",Transactions!$D$2:$D$1001,"&gt;="&amp;(NOW()-30)))</f>
      </c>
      <c r="H260" s="36"/>
    </row>
    <row r="261">
      <c r="A261" s="31"/>
      <c r="B261" s="30"/>
      <c r="C261" s="35"/>
      <c r="D261" s="34"/>
      <c r="E261" s="39">
        <f>IF(A261="","",SUMIFS(Transactions!$H$2:$H$1001,Transactions!$F$2:$F$1001,A261,Transactions!$C$2:$C$1001,"issue",Transactions!$D$2:$D$1001,"&gt;="&amp;(NOW()-30)))</f>
      </c>
      <c r="F261" s="39">
        <f>IF(A261="","",COUNTIFS(Transactions!$F$2:$F$1001,A261,Transactions!$C$2:$C$1001,"loan",Transactions!$D$2:$D$1001,"&gt;="&amp;(NOW()-30)))</f>
      </c>
      <c r="G261" s="39">
        <f>IF(A261="","",COUNTIFS(Transactions!$F$2:$F$1001,A261,Transactions!$C$2:$C$1001,"unfilled",Transactions!$D$2:$D$1001,"&gt;="&amp;(NOW()-30)))</f>
      </c>
      <c r="H261" s="36"/>
    </row>
    <row r="262">
      <c r="A262" s="31"/>
      <c r="B262" s="30"/>
      <c r="C262" s="35"/>
      <c r="D262" s="34"/>
      <c r="E262" s="39">
        <f>IF(A262="","",SUMIFS(Transactions!$H$2:$H$1001,Transactions!$F$2:$F$1001,A262,Transactions!$C$2:$C$1001,"issue",Transactions!$D$2:$D$1001,"&gt;="&amp;(NOW()-30)))</f>
      </c>
      <c r="F262" s="39">
        <f>IF(A262="","",COUNTIFS(Transactions!$F$2:$F$1001,A262,Transactions!$C$2:$C$1001,"loan",Transactions!$D$2:$D$1001,"&gt;="&amp;(NOW()-30)))</f>
      </c>
      <c r="G262" s="39">
        <f>IF(A262="","",COUNTIFS(Transactions!$F$2:$F$1001,A262,Transactions!$C$2:$C$1001,"unfilled",Transactions!$D$2:$D$1001,"&gt;="&amp;(NOW()-30)))</f>
      </c>
      <c r="H262" s="36"/>
    </row>
    <row r="263">
      <c r="A263" s="31"/>
      <c r="B263" s="30"/>
      <c r="C263" s="35"/>
      <c r="D263" s="34"/>
      <c r="E263" s="39">
        <f>IF(A263="","",SUMIFS(Transactions!$H$2:$H$1001,Transactions!$F$2:$F$1001,A263,Transactions!$C$2:$C$1001,"issue",Transactions!$D$2:$D$1001,"&gt;="&amp;(NOW()-30)))</f>
      </c>
      <c r="F263" s="39">
        <f>IF(A263="","",COUNTIFS(Transactions!$F$2:$F$1001,A263,Transactions!$C$2:$C$1001,"loan",Transactions!$D$2:$D$1001,"&gt;="&amp;(NOW()-30)))</f>
      </c>
      <c r="G263" s="39">
        <f>IF(A263="","",COUNTIFS(Transactions!$F$2:$F$1001,A263,Transactions!$C$2:$C$1001,"unfilled",Transactions!$D$2:$D$1001,"&gt;="&amp;(NOW()-30)))</f>
      </c>
      <c r="H263" s="36"/>
    </row>
    <row r="264">
      <c r="A264" s="31"/>
      <c r="B264" s="30"/>
      <c r="C264" s="35"/>
      <c r="D264" s="34"/>
      <c r="E264" s="39">
        <f>IF(A264="","",SUMIFS(Transactions!$H$2:$H$1001,Transactions!$F$2:$F$1001,A264,Transactions!$C$2:$C$1001,"issue",Transactions!$D$2:$D$1001,"&gt;="&amp;(NOW()-30)))</f>
      </c>
      <c r="F264" s="39">
        <f>IF(A264="","",COUNTIFS(Transactions!$F$2:$F$1001,A264,Transactions!$C$2:$C$1001,"loan",Transactions!$D$2:$D$1001,"&gt;="&amp;(NOW()-30)))</f>
      </c>
      <c r="G264" s="39">
        <f>IF(A264="","",COUNTIFS(Transactions!$F$2:$F$1001,A264,Transactions!$C$2:$C$1001,"unfilled",Transactions!$D$2:$D$1001,"&gt;="&amp;(NOW()-30)))</f>
      </c>
      <c r="H264" s="36"/>
    </row>
    <row r="265">
      <c r="A265" s="31"/>
      <c r="B265" s="30"/>
      <c r="C265" s="35"/>
      <c r="D265" s="34"/>
      <c r="E265" s="39">
        <f>IF(A265="","",SUMIFS(Transactions!$H$2:$H$1001,Transactions!$F$2:$F$1001,A265,Transactions!$C$2:$C$1001,"issue",Transactions!$D$2:$D$1001,"&gt;="&amp;(NOW()-30)))</f>
      </c>
      <c r="F265" s="39">
        <f>IF(A265="","",COUNTIFS(Transactions!$F$2:$F$1001,A265,Transactions!$C$2:$C$1001,"loan",Transactions!$D$2:$D$1001,"&gt;="&amp;(NOW()-30)))</f>
      </c>
      <c r="G265" s="39">
        <f>IF(A265="","",COUNTIFS(Transactions!$F$2:$F$1001,A265,Transactions!$C$2:$C$1001,"unfilled",Transactions!$D$2:$D$1001,"&gt;="&amp;(NOW()-30)))</f>
      </c>
      <c r="H265" s="36"/>
    </row>
    <row r="266">
      <c r="A266" s="31"/>
      <c r="B266" s="30"/>
      <c r="C266" s="35"/>
      <c r="D266" s="34"/>
      <c r="E266" s="39">
        <f>IF(A266="","",SUMIFS(Transactions!$H$2:$H$1001,Transactions!$F$2:$F$1001,A266,Transactions!$C$2:$C$1001,"issue",Transactions!$D$2:$D$1001,"&gt;="&amp;(NOW()-30)))</f>
      </c>
      <c r="F266" s="39">
        <f>IF(A266="","",COUNTIFS(Transactions!$F$2:$F$1001,A266,Transactions!$C$2:$C$1001,"loan",Transactions!$D$2:$D$1001,"&gt;="&amp;(NOW()-30)))</f>
      </c>
      <c r="G266" s="39">
        <f>IF(A266="","",COUNTIFS(Transactions!$F$2:$F$1001,A266,Transactions!$C$2:$C$1001,"unfilled",Transactions!$D$2:$D$1001,"&gt;="&amp;(NOW()-30)))</f>
      </c>
      <c r="H266" s="36"/>
    </row>
    <row r="267">
      <c r="A267" s="31"/>
      <c r="B267" s="30"/>
      <c r="C267" s="35"/>
      <c r="D267" s="34"/>
      <c r="E267" s="39">
        <f>IF(A267="","",SUMIFS(Transactions!$H$2:$H$1001,Transactions!$F$2:$F$1001,A267,Transactions!$C$2:$C$1001,"issue",Transactions!$D$2:$D$1001,"&gt;="&amp;(NOW()-30)))</f>
      </c>
      <c r="F267" s="39">
        <f>IF(A267="","",COUNTIFS(Transactions!$F$2:$F$1001,A267,Transactions!$C$2:$C$1001,"loan",Transactions!$D$2:$D$1001,"&gt;="&amp;(NOW()-30)))</f>
      </c>
      <c r="G267" s="39">
        <f>IF(A267="","",COUNTIFS(Transactions!$F$2:$F$1001,A267,Transactions!$C$2:$C$1001,"unfilled",Transactions!$D$2:$D$1001,"&gt;="&amp;(NOW()-30)))</f>
      </c>
      <c r="H267" s="36"/>
    </row>
    <row r="268">
      <c r="A268" s="31"/>
      <c r="B268" s="30"/>
      <c r="C268" s="35"/>
      <c r="D268" s="34"/>
      <c r="E268" s="39">
        <f>IF(A268="","",SUMIFS(Transactions!$H$2:$H$1001,Transactions!$F$2:$F$1001,A268,Transactions!$C$2:$C$1001,"issue",Transactions!$D$2:$D$1001,"&gt;="&amp;(NOW()-30)))</f>
      </c>
      <c r="F268" s="39">
        <f>IF(A268="","",COUNTIFS(Transactions!$F$2:$F$1001,A268,Transactions!$C$2:$C$1001,"loan",Transactions!$D$2:$D$1001,"&gt;="&amp;(NOW()-30)))</f>
      </c>
      <c r="G268" s="39">
        <f>IF(A268="","",COUNTIFS(Transactions!$F$2:$F$1001,A268,Transactions!$C$2:$C$1001,"unfilled",Transactions!$D$2:$D$1001,"&gt;="&amp;(NOW()-30)))</f>
      </c>
      <c r="H268" s="36"/>
    </row>
    <row r="269">
      <c r="A269" s="31"/>
      <c r="B269" s="30"/>
      <c r="C269" s="35"/>
      <c r="D269" s="34"/>
      <c r="E269" s="39">
        <f>IF(A269="","",SUMIFS(Transactions!$H$2:$H$1001,Transactions!$F$2:$F$1001,A269,Transactions!$C$2:$C$1001,"issue",Transactions!$D$2:$D$1001,"&gt;="&amp;(NOW()-30)))</f>
      </c>
      <c r="F269" s="39">
        <f>IF(A269="","",COUNTIFS(Transactions!$F$2:$F$1001,A269,Transactions!$C$2:$C$1001,"loan",Transactions!$D$2:$D$1001,"&gt;="&amp;(NOW()-30)))</f>
      </c>
      <c r="G269" s="39">
        <f>IF(A269="","",COUNTIFS(Transactions!$F$2:$F$1001,A269,Transactions!$C$2:$C$1001,"unfilled",Transactions!$D$2:$D$1001,"&gt;="&amp;(NOW()-30)))</f>
      </c>
      <c r="H269" s="36"/>
    </row>
    <row r="270">
      <c r="A270" s="31"/>
      <c r="B270" s="30"/>
      <c r="C270" s="35"/>
      <c r="D270" s="34"/>
      <c r="E270" s="39">
        <f>IF(A270="","",SUMIFS(Transactions!$H$2:$H$1001,Transactions!$F$2:$F$1001,A270,Transactions!$C$2:$C$1001,"issue",Transactions!$D$2:$D$1001,"&gt;="&amp;(NOW()-30)))</f>
      </c>
      <c r="F270" s="39">
        <f>IF(A270="","",COUNTIFS(Transactions!$F$2:$F$1001,A270,Transactions!$C$2:$C$1001,"loan",Transactions!$D$2:$D$1001,"&gt;="&amp;(NOW()-30)))</f>
      </c>
      <c r="G270" s="39">
        <f>IF(A270="","",COUNTIFS(Transactions!$F$2:$F$1001,A270,Transactions!$C$2:$C$1001,"unfilled",Transactions!$D$2:$D$1001,"&gt;="&amp;(NOW()-30)))</f>
      </c>
      <c r="H270" s="36"/>
    </row>
    <row r="271">
      <c r="A271" s="31"/>
      <c r="B271" s="30"/>
      <c r="C271" s="35"/>
      <c r="D271" s="34"/>
      <c r="E271" s="39">
        <f>IF(A271="","",SUMIFS(Transactions!$H$2:$H$1001,Transactions!$F$2:$F$1001,A271,Transactions!$C$2:$C$1001,"issue",Transactions!$D$2:$D$1001,"&gt;="&amp;(NOW()-30)))</f>
      </c>
      <c r="F271" s="39">
        <f>IF(A271="","",COUNTIFS(Transactions!$F$2:$F$1001,A271,Transactions!$C$2:$C$1001,"loan",Transactions!$D$2:$D$1001,"&gt;="&amp;(NOW()-30)))</f>
      </c>
      <c r="G271" s="39">
        <f>IF(A271="","",COUNTIFS(Transactions!$F$2:$F$1001,A271,Transactions!$C$2:$C$1001,"unfilled",Transactions!$D$2:$D$1001,"&gt;="&amp;(NOW()-30)))</f>
      </c>
      <c r="H271" s="36"/>
    </row>
    <row r="272">
      <c r="A272" s="31"/>
      <c r="B272" s="30"/>
      <c r="C272" s="35"/>
      <c r="D272" s="34"/>
      <c r="E272" s="39">
        <f>IF(A272="","",SUMIFS(Transactions!$H$2:$H$1001,Transactions!$F$2:$F$1001,A272,Transactions!$C$2:$C$1001,"issue",Transactions!$D$2:$D$1001,"&gt;="&amp;(NOW()-30)))</f>
      </c>
      <c r="F272" s="39">
        <f>IF(A272="","",COUNTIFS(Transactions!$F$2:$F$1001,A272,Transactions!$C$2:$C$1001,"loan",Transactions!$D$2:$D$1001,"&gt;="&amp;(NOW()-30)))</f>
      </c>
      <c r="G272" s="39">
        <f>IF(A272="","",COUNTIFS(Transactions!$F$2:$F$1001,A272,Transactions!$C$2:$C$1001,"unfilled",Transactions!$D$2:$D$1001,"&gt;="&amp;(NOW()-30)))</f>
      </c>
      <c r="H272" s="36"/>
    </row>
    <row r="273">
      <c r="A273" s="31"/>
      <c r="B273" s="30"/>
      <c r="C273" s="35"/>
      <c r="D273" s="34"/>
      <c r="E273" s="39">
        <f>IF(A273="","",SUMIFS(Transactions!$H$2:$H$1001,Transactions!$F$2:$F$1001,A273,Transactions!$C$2:$C$1001,"issue",Transactions!$D$2:$D$1001,"&gt;="&amp;(NOW()-30)))</f>
      </c>
      <c r="F273" s="39">
        <f>IF(A273="","",COUNTIFS(Transactions!$F$2:$F$1001,A273,Transactions!$C$2:$C$1001,"loan",Transactions!$D$2:$D$1001,"&gt;="&amp;(NOW()-30)))</f>
      </c>
      <c r="G273" s="39">
        <f>IF(A273="","",COUNTIFS(Transactions!$F$2:$F$1001,A273,Transactions!$C$2:$C$1001,"unfilled",Transactions!$D$2:$D$1001,"&gt;="&amp;(NOW()-30)))</f>
      </c>
      <c r="H273" s="36"/>
    </row>
    <row r="274">
      <c r="A274" s="31"/>
      <c r="B274" s="30"/>
      <c r="C274" s="35"/>
      <c r="D274" s="34"/>
      <c r="E274" s="39">
        <f>IF(A274="","",SUMIFS(Transactions!$H$2:$H$1001,Transactions!$F$2:$F$1001,A274,Transactions!$C$2:$C$1001,"issue",Transactions!$D$2:$D$1001,"&gt;="&amp;(NOW()-30)))</f>
      </c>
      <c r="F274" s="39">
        <f>IF(A274="","",COUNTIFS(Transactions!$F$2:$F$1001,A274,Transactions!$C$2:$C$1001,"loan",Transactions!$D$2:$D$1001,"&gt;="&amp;(NOW()-30)))</f>
      </c>
      <c r="G274" s="39">
        <f>IF(A274="","",COUNTIFS(Transactions!$F$2:$F$1001,A274,Transactions!$C$2:$C$1001,"unfilled",Transactions!$D$2:$D$1001,"&gt;="&amp;(NOW()-30)))</f>
      </c>
      <c r="H274" s="36"/>
    </row>
    <row r="275">
      <c r="A275" s="31"/>
      <c r="B275" s="30"/>
      <c r="C275" s="35"/>
      <c r="D275" s="34"/>
      <c r="E275" s="39">
        <f>IF(A275="","",SUMIFS(Transactions!$H$2:$H$1001,Transactions!$F$2:$F$1001,A275,Transactions!$C$2:$C$1001,"issue",Transactions!$D$2:$D$1001,"&gt;="&amp;(NOW()-30)))</f>
      </c>
      <c r="F275" s="39">
        <f>IF(A275="","",COUNTIFS(Transactions!$F$2:$F$1001,A275,Transactions!$C$2:$C$1001,"loan",Transactions!$D$2:$D$1001,"&gt;="&amp;(NOW()-30)))</f>
      </c>
      <c r="G275" s="39">
        <f>IF(A275="","",COUNTIFS(Transactions!$F$2:$F$1001,A275,Transactions!$C$2:$C$1001,"unfilled",Transactions!$D$2:$D$1001,"&gt;="&amp;(NOW()-30)))</f>
      </c>
      <c r="H275" s="36"/>
    </row>
    <row r="276">
      <c r="A276" s="31"/>
      <c r="B276" s="30"/>
      <c r="C276" s="35"/>
      <c r="D276" s="34"/>
      <c r="E276" s="39">
        <f>IF(A276="","",SUMIFS(Transactions!$H$2:$H$1001,Transactions!$F$2:$F$1001,A276,Transactions!$C$2:$C$1001,"issue",Transactions!$D$2:$D$1001,"&gt;="&amp;(NOW()-30)))</f>
      </c>
      <c r="F276" s="39">
        <f>IF(A276="","",COUNTIFS(Transactions!$F$2:$F$1001,A276,Transactions!$C$2:$C$1001,"loan",Transactions!$D$2:$D$1001,"&gt;="&amp;(NOW()-30)))</f>
      </c>
      <c r="G276" s="39">
        <f>IF(A276="","",COUNTIFS(Transactions!$F$2:$F$1001,A276,Transactions!$C$2:$C$1001,"unfilled",Transactions!$D$2:$D$1001,"&gt;="&amp;(NOW()-30)))</f>
      </c>
      <c r="H276" s="36"/>
    </row>
    <row r="277">
      <c r="A277" s="31"/>
      <c r="B277" s="30"/>
      <c r="C277" s="35"/>
      <c r="D277" s="34"/>
      <c r="E277" s="39">
        <f>IF(A277="","",SUMIFS(Transactions!$H$2:$H$1001,Transactions!$F$2:$F$1001,A277,Transactions!$C$2:$C$1001,"issue",Transactions!$D$2:$D$1001,"&gt;="&amp;(NOW()-30)))</f>
      </c>
      <c r="F277" s="39">
        <f>IF(A277="","",COUNTIFS(Transactions!$F$2:$F$1001,A277,Transactions!$C$2:$C$1001,"loan",Transactions!$D$2:$D$1001,"&gt;="&amp;(NOW()-30)))</f>
      </c>
      <c r="G277" s="39">
        <f>IF(A277="","",COUNTIFS(Transactions!$F$2:$F$1001,A277,Transactions!$C$2:$C$1001,"unfilled",Transactions!$D$2:$D$1001,"&gt;="&amp;(NOW()-30)))</f>
      </c>
      <c r="H277" s="36"/>
    </row>
    <row r="278">
      <c r="A278" s="31"/>
      <c r="B278" s="30"/>
      <c r="C278" s="35"/>
      <c r="D278" s="34"/>
      <c r="E278" s="39">
        <f>IF(A278="","",SUMIFS(Transactions!$H$2:$H$1001,Transactions!$F$2:$F$1001,A278,Transactions!$C$2:$C$1001,"issue",Transactions!$D$2:$D$1001,"&gt;="&amp;(NOW()-30)))</f>
      </c>
      <c r="F278" s="39">
        <f>IF(A278="","",COUNTIFS(Transactions!$F$2:$F$1001,A278,Transactions!$C$2:$C$1001,"loan",Transactions!$D$2:$D$1001,"&gt;="&amp;(NOW()-30)))</f>
      </c>
      <c r="G278" s="39">
        <f>IF(A278="","",COUNTIFS(Transactions!$F$2:$F$1001,A278,Transactions!$C$2:$C$1001,"unfilled",Transactions!$D$2:$D$1001,"&gt;="&amp;(NOW()-30)))</f>
      </c>
      <c r="H278" s="36"/>
    </row>
    <row r="279">
      <c r="A279" s="31"/>
      <c r="B279" s="30"/>
      <c r="C279" s="35"/>
      <c r="D279" s="34"/>
      <c r="E279" s="39">
        <f>IF(A279="","",SUMIFS(Transactions!$H$2:$H$1001,Transactions!$F$2:$F$1001,A279,Transactions!$C$2:$C$1001,"issue",Transactions!$D$2:$D$1001,"&gt;="&amp;(NOW()-30)))</f>
      </c>
      <c r="F279" s="39">
        <f>IF(A279="","",COUNTIFS(Transactions!$F$2:$F$1001,A279,Transactions!$C$2:$C$1001,"loan",Transactions!$D$2:$D$1001,"&gt;="&amp;(NOW()-30)))</f>
      </c>
      <c r="G279" s="39">
        <f>IF(A279="","",COUNTIFS(Transactions!$F$2:$F$1001,A279,Transactions!$C$2:$C$1001,"unfilled",Transactions!$D$2:$D$1001,"&gt;="&amp;(NOW()-30)))</f>
      </c>
      <c r="H279" s="36"/>
    </row>
    <row r="280">
      <c r="A280" s="31"/>
      <c r="B280" s="30"/>
      <c r="C280" s="35"/>
      <c r="D280" s="34"/>
      <c r="E280" s="39">
        <f>IF(A280="","",SUMIFS(Transactions!$H$2:$H$1001,Transactions!$F$2:$F$1001,A280,Transactions!$C$2:$C$1001,"issue",Transactions!$D$2:$D$1001,"&gt;="&amp;(NOW()-30)))</f>
      </c>
      <c r="F280" s="39">
        <f>IF(A280="","",COUNTIFS(Transactions!$F$2:$F$1001,A280,Transactions!$C$2:$C$1001,"loan",Transactions!$D$2:$D$1001,"&gt;="&amp;(NOW()-30)))</f>
      </c>
      <c r="G280" s="39">
        <f>IF(A280="","",COUNTIFS(Transactions!$F$2:$F$1001,A280,Transactions!$C$2:$C$1001,"unfilled",Transactions!$D$2:$D$1001,"&gt;="&amp;(NOW()-30)))</f>
      </c>
      <c r="H280" s="36"/>
    </row>
    <row r="281">
      <c r="A281" s="31"/>
      <c r="B281" s="30"/>
      <c r="C281" s="35"/>
      <c r="D281" s="34"/>
      <c r="E281" s="39">
        <f>IF(A281="","",SUMIFS(Transactions!$H$2:$H$1001,Transactions!$F$2:$F$1001,A281,Transactions!$C$2:$C$1001,"issue",Transactions!$D$2:$D$1001,"&gt;="&amp;(NOW()-30)))</f>
      </c>
      <c r="F281" s="39">
        <f>IF(A281="","",COUNTIFS(Transactions!$F$2:$F$1001,A281,Transactions!$C$2:$C$1001,"loan",Transactions!$D$2:$D$1001,"&gt;="&amp;(NOW()-30)))</f>
      </c>
      <c r="G281" s="39">
        <f>IF(A281="","",COUNTIFS(Transactions!$F$2:$F$1001,A281,Transactions!$C$2:$C$1001,"unfilled",Transactions!$D$2:$D$1001,"&gt;="&amp;(NOW()-30)))</f>
      </c>
      <c r="H281" s="36"/>
    </row>
    <row r="282">
      <c r="A282" s="31"/>
      <c r="B282" s="30"/>
      <c r="C282" s="35"/>
      <c r="D282" s="34"/>
      <c r="E282" s="39">
        <f>IF(A282="","",SUMIFS(Transactions!$H$2:$H$1001,Transactions!$F$2:$F$1001,A282,Transactions!$C$2:$C$1001,"issue",Transactions!$D$2:$D$1001,"&gt;="&amp;(NOW()-30)))</f>
      </c>
      <c r="F282" s="39">
        <f>IF(A282="","",COUNTIFS(Transactions!$F$2:$F$1001,A282,Transactions!$C$2:$C$1001,"loan",Transactions!$D$2:$D$1001,"&gt;="&amp;(NOW()-30)))</f>
      </c>
      <c r="G282" s="39">
        <f>IF(A282="","",COUNTIFS(Transactions!$F$2:$F$1001,A282,Transactions!$C$2:$C$1001,"unfilled",Transactions!$D$2:$D$1001,"&gt;="&amp;(NOW()-30)))</f>
      </c>
      <c r="H282" s="36"/>
    </row>
    <row r="283">
      <c r="A283" s="31"/>
      <c r="B283" s="30"/>
      <c r="C283" s="35"/>
      <c r="D283" s="34"/>
      <c r="E283" s="39">
        <f>IF(A283="","",SUMIFS(Transactions!$H$2:$H$1001,Transactions!$F$2:$F$1001,A283,Transactions!$C$2:$C$1001,"issue",Transactions!$D$2:$D$1001,"&gt;="&amp;(NOW()-30)))</f>
      </c>
      <c r="F283" s="39">
        <f>IF(A283="","",COUNTIFS(Transactions!$F$2:$F$1001,A283,Transactions!$C$2:$C$1001,"loan",Transactions!$D$2:$D$1001,"&gt;="&amp;(NOW()-30)))</f>
      </c>
      <c r="G283" s="39">
        <f>IF(A283="","",COUNTIFS(Transactions!$F$2:$F$1001,A283,Transactions!$C$2:$C$1001,"unfilled",Transactions!$D$2:$D$1001,"&gt;="&amp;(NOW()-30)))</f>
      </c>
      <c r="H283" s="36"/>
    </row>
    <row r="284">
      <c r="A284" s="31"/>
      <c r="B284" s="30"/>
      <c r="C284" s="35"/>
      <c r="D284" s="34"/>
      <c r="E284" s="39">
        <f>IF(A284="","",SUMIFS(Transactions!$H$2:$H$1001,Transactions!$F$2:$F$1001,A284,Transactions!$C$2:$C$1001,"issue",Transactions!$D$2:$D$1001,"&gt;="&amp;(NOW()-30)))</f>
      </c>
      <c r="F284" s="39">
        <f>IF(A284="","",COUNTIFS(Transactions!$F$2:$F$1001,A284,Transactions!$C$2:$C$1001,"loan",Transactions!$D$2:$D$1001,"&gt;="&amp;(NOW()-30)))</f>
      </c>
      <c r="G284" s="39">
        <f>IF(A284="","",COUNTIFS(Transactions!$F$2:$F$1001,A284,Transactions!$C$2:$C$1001,"unfilled",Transactions!$D$2:$D$1001,"&gt;="&amp;(NOW()-30)))</f>
      </c>
      <c r="H284" s="36"/>
    </row>
    <row r="285">
      <c r="A285" s="31"/>
      <c r="B285" s="30"/>
      <c r="C285" s="35"/>
      <c r="D285" s="34"/>
      <c r="E285" s="39">
        <f>IF(A285="","",SUMIFS(Transactions!$H$2:$H$1001,Transactions!$F$2:$F$1001,A285,Transactions!$C$2:$C$1001,"issue",Transactions!$D$2:$D$1001,"&gt;="&amp;(NOW()-30)))</f>
      </c>
      <c r="F285" s="39">
        <f>IF(A285="","",COUNTIFS(Transactions!$F$2:$F$1001,A285,Transactions!$C$2:$C$1001,"loan",Transactions!$D$2:$D$1001,"&gt;="&amp;(NOW()-30)))</f>
      </c>
      <c r="G285" s="39">
        <f>IF(A285="","",COUNTIFS(Transactions!$F$2:$F$1001,A285,Transactions!$C$2:$C$1001,"unfilled",Transactions!$D$2:$D$1001,"&gt;="&amp;(NOW()-30)))</f>
      </c>
      <c r="H285" s="36"/>
    </row>
    <row r="286">
      <c r="A286" s="31"/>
      <c r="B286" s="30"/>
      <c r="C286" s="35"/>
      <c r="D286" s="34"/>
      <c r="E286" s="39">
        <f>IF(A286="","",SUMIFS(Transactions!$H$2:$H$1001,Transactions!$F$2:$F$1001,A286,Transactions!$C$2:$C$1001,"issue",Transactions!$D$2:$D$1001,"&gt;="&amp;(NOW()-30)))</f>
      </c>
      <c r="F286" s="39">
        <f>IF(A286="","",COUNTIFS(Transactions!$F$2:$F$1001,A286,Transactions!$C$2:$C$1001,"loan",Transactions!$D$2:$D$1001,"&gt;="&amp;(NOW()-30)))</f>
      </c>
      <c r="G286" s="39">
        <f>IF(A286="","",COUNTIFS(Transactions!$F$2:$F$1001,A286,Transactions!$C$2:$C$1001,"unfilled",Transactions!$D$2:$D$1001,"&gt;="&amp;(NOW()-30)))</f>
      </c>
      <c r="H286" s="36"/>
    </row>
    <row r="287">
      <c r="A287" s="31"/>
      <c r="B287" s="30"/>
      <c r="C287" s="35"/>
      <c r="D287" s="34"/>
      <c r="E287" s="39">
        <f>IF(A287="","",SUMIFS(Transactions!$H$2:$H$1001,Transactions!$F$2:$F$1001,A287,Transactions!$C$2:$C$1001,"issue",Transactions!$D$2:$D$1001,"&gt;="&amp;(NOW()-30)))</f>
      </c>
      <c r="F287" s="39">
        <f>IF(A287="","",COUNTIFS(Transactions!$F$2:$F$1001,A287,Transactions!$C$2:$C$1001,"loan",Transactions!$D$2:$D$1001,"&gt;="&amp;(NOW()-30)))</f>
      </c>
      <c r="G287" s="39">
        <f>IF(A287="","",COUNTIFS(Transactions!$F$2:$F$1001,A287,Transactions!$C$2:$C$1001,"unfilled",Transactions!$D$2:$D$1001,"&gt;="&amp;(NOW()-30)))</f>
      </c>
      <c r="H287" s="36"/>
    </row>
    <row r="288">
      <c r="A288" s="31"/>
      <c r="B288" s="30"/>
      <c r="C288" s="35"/>
      <c r="D288" s="34"/>
      <c r="E288" s="39">
        <f>IF(A288="","",SUMIFS(Transactions!$H$2:$H$1001,Transactions!$F$2:$F$1001,A288,Transactions!$C$2:$C$1001,"issue",Transactions!$D$2:$D$1001,"&gt;="&amp;(NOW()-30)))</f>
      </c>
      <c r="F288" s="39">
        <f>IF(A288="","",COUNTIFS(Transactions!$F$2:$F$1001,A288,Transactions!$C$2:$C$1001,"loan",Transactions!$D$2:$D$1001,"&gt;="&amp;(NOW()-30)))</f>
      </c>
      <c r="G288" s="39">
        <f>IF(A288="","",COUNTIFS(Transactions!$F$2:$F$1001,A288,Transactions!$C$2:$C$1001,"unfilled",Transactions!$D$2:$D$1001,"&gt;="&amp;(NOW()-30)))</f>
      </c>
      <c r="H288" s="36"/>
    </row>
    <row r="289">
      <c r="A289" s="31"/>
      <c r="B289" s="30"/>
      <c r="C289" s="35"/>
      <c r="D289" s="34"/>
      <c r="E289" s="39">
        <f>IF(A289="","",SUMIFS(Transactions!$H$2:$H$1001,Transactions!$F$2:$F$1001,A289,Transactions!$C$2:$C$1001,"issue",Transactions!$D$2:$D$1001,"&gt;="&amp;(NOW()-30)))</f>
      </c>
      <c r="F289" s="39">
        <f>IF(A289="","",COUNTIFS(Transactions!$F$2:$F$1001,A289,Transactions!$C$2:$C$1001,"loan",Transactions!$D$2:$D$1001,"&gt;="&amp;(NOW()-30)))</f>
      </c>
      <c r="G289" s="39">
        <f>IF(A289="","",COUNTIFS(Transactions!$F$2:$F$1001,A289,Transactions!$C$2:$C$1001,"unfilled",Transactions!$D$2:$D$1001,"&gt;="&amp;(NOW()-30)))</f>
      </c>
      <c r="H289" s="36"/>
    </row>
    <row r="290">
      <c r="A290" s="31"/>
      <c r="B290" s="30"/>
      <c r="C290" s="35"/>
      <c r="D290" s="34"/>
      <c r="E290" s="39">
        <f>IF(A290="","",SUMIFS(Transactions!$H$2:$H$1001,Transactions!$F$2:$F$1001,A290,Transactions!$C$2:$C$1001,"issue",Transactions!$D$2:$D$1001,"&gt;="&amp;(NOW()-30)))</f>
      </c>
      <c r="F290" s="39">
        <f>IF(A290="","",COUNTIFS(Transactions!$F$2:$F$1001,A290,Transactions!$C$2:$C$1001,"loan",Transactions!$D$2:$D$1001,"&gt;="&amp;(NOW()-30)))</f>
      </c>
      <c r="G290" s="39">
        <f>IF(A290="","",COUNTIFS(Transactions!$F$2:$F$1001,A290,Transactions!$C$2:$C$1001,"unfilled",Transactions!$D$2:$D$1001,"&gt;="&amp;(NOW()-30)))</f>
      </c>
      <c r="H290" s="36"/>
    </row>
    <row r="291">
      <c r="A291" s="31"/>
      <c r="B291" s="30"/>
      <c r="C291" s="35"/>
      <c r="D291" s="34"/>
      <c r="E291" s="39">
        <f>IF(A291="","",SUMIFS(Transactions!$H$2:$H$1001,Transactions!$F$2:$F$1001,A291,Transactions!$C$2:$C$1001,"issue",Transactions!$D$2:$D$1001,"&gt;="&amp;(NOW()-30)))</f>
      </c>
      <c r="F291" s="39">
        <f>IF(A291="","",COUNTIFS(Transactions!$F$2:$F$1001,A291,Transactions!$C$2:$C$1001,"loan",Transactions!$D$2:$D$1001,"&gt;="&amp;(NOW()-30)))</f>
      </c>
      <c r="G291" s="39">
        <f>IF(A291="","",COUNTIFS(Transactions!$F$2:$F$1001,A291,Transactions!$C$2:$C$1001,"unfilled",Transactions!$D$2:$D$1001,"&gt;="&amp;(NOW()-30)))</f>
      </c>
      <c r="H291" s="36"/>
    </row>
    <row r="292">
      <c r="A292" s="31"/>
      <c r="B292" s="30"/>
      <c r="C292" s="35"/>
      <c r="D292" s="34"/>
      <c r="E292" s="39">
        <f>IF(A292="","",SUMIFS(Transactions!$H$2:$H$1001,Transactions!$F$2:$F$1001,A292,Transactions!$C$2:$C$1001,"issue",Transactions!$D$2:$D$1001,"&gt;="&amp;(NOW()-30)))</f>
      </c>
      <c r="F292" s="39">
        <f>IF(A292="","",COUNTIFS(Transactions!$F$2:$F$1001,A292,Transactions!$C$2:$C$1001,"loan",Transactions!$D$2:$D$1001,"&gt;="&amp;(NOW()-30)))</f>
      </c>
      <c r="G292" s="39">
        <f>IF(A292="","",COUNTIFS(Transactions!$F$2:$F$1001,A292,Transactions!$C$2:$C$1001,"unfilled",Transactions!$D$2:$D$1001,"&gt;="&amp;(NOW()-30)))</f>
      </c>
      <c r="H292" s="36"/>
    </row>
    <row r="293">
      <c r="A293" s="31"/>
      <c r="B293" s="30"/>
      <c r="C293" s="35"/>
      <c r="D293" s="34"/>
      <c r="E293" s="39">
        <f>IF(A293="","",SUMIFS(Transactions!$H$2:$H$1001,Transactions!$F$2:$F$1001,A293,Transactions!$C$2:$C$1001,"issue",Transactions!$D$2:$D$1001,"&gt;="&amp;(NOW()-30)))</f>
      </c>
      <c r="F293" s="39">
        <f>IF(A293="","",COUNTIFS(Transactions!$F$2:$F$1001,A293,Transactions!$C$2:$C$1001,"loan",Transactions!$D$2:$D$1001,"&gt;="&amp;(NOW()-30)))</f>
      </c>
      <c r="G293" s="39">
        <f>IF(A293="","",COUNTIFS(Transactions!$F$2:$F$1001,A293,Transactions!$C$2:$C$1001,"unfilled",Transactions!$D$2:$D$1001,"&gt;="&amp;(NOW()-30)))</f>
      </c>
      <c r="H293" s="36"/>
    </row>
    <row r="294">
      <c r="A294" s="31"/>
      <c r="B294" s="30"/>
      <c r="C294" s="35"/>
      <c r="D294" s="34"/>
      <c r="E294" s="39">
        <f>IF(A294="","",SUMIFS(Transactions!$H$2:$H$1001,Transactions!$F$2:$F$1001,A294,Transactions!$C$2:$C$1001,"issue",Transactions!$D$2:$D$1001,"&gt;="&amp;(NOW()-30)))</f>
      </c>
      <c r="F294" s="39">
        <f>IF(A294="","",COUNTIFS(Transactions!$F$2:$F$1001,A294,Transactions!$C$2:$C$1001,"loan",Transactions!$D$2:$D$1001,"&gt;="&amp;(NOW()-30)))</f>
      </c>
      <c r="G294" s="39">
        <f>IF(A294="","",COUNTIFS(Transactions!$F$2:$F$1001,A294,Transactions!$C$2:$C$1001,"unfilled",Transactions!$D$2:$D$1001,"&gt;="&amp;(NOW()-30)))</f>
      </c>
      <c r="H294" s="36"/>
    </row>
    <row r="295">
      <c r="A295" s="31"/>
      <c r="B295" s="30"/>
      <c r="C295" s="35"/>
      <c r="D295" s="34"/>
      <c r="E295" s="39">
        <f>IF(A295="","",SUMIFS(Transactions!$H$2:$H$1001,Transactions!$F$2:$F$1001,A295,Transactions!$C$2:$C$1001,"issue",Transactions!$D$2:$D$1001,"&gt;="&amp;(NOW()-30)))</f>
      </c>
      <c r="F295" s="39">
        <f>IF(A295="","",COUNTIFS(Transactions!$F$2:$F$1001,A295,Transactions!$C$2:$C$1001,"loan",Transactions!$D$2:$D$1001,"&gt;="&amp;(NOW()-30)))</f>
      </c>
      <c r="G295" s="39">
        <f>IF(A295="","",COUNTIFS(Transactions!$F$2:$F$1001,A295,Transactions!$C$2:$C$1001,"unfilled",Transactions!$D$2:$D$1001,"&gt;="&amp;(NOW()-30)))</f>
      </c>
      <c r="H295" s="36"/>
    </row>
    <row r="296">
      <c r="A296" s="31"/>
      <c r="B296" s="30"/>
      <c r="C296" s="35"/>
      <c r="D296" s="34"/>
      <c r="E296" s="39">
        <f>IF(A296="","",SUMIFS(Transactions!$H$2:$H$1001,Transactions!$F$2:$F$1001,A296,Transactions!$C$2:$C$1001,"issue",Transactions!$D$2:$D$1001,"&gt;="&amp;(NOW()-30)))</f>
      </c>
      <c r="F296" s="39">
        <f>IF(A296="","",COUNTIFS(Transactions!$F$2:$F$1001,A296,Transactions!$C$2:$C$1001,"loan",Transactions!$D$2:$D$1001,"&gt;="&amp;(NOW()-30)))</f>
      </c>
      <c r="G296" s="39">
        <f>IF(A296="","",COUNTIFS(Transactions!$F$2:$F$1001,A296,Transactions!$C$2:$C$1001,"unfilled",Transactions!$D$2:$D$1001,"&gt;="&amp;(NOW()-30)))</f>
      </c>
      <c r="H296" s="36"/>
    </row>
    <row r="297">
      <c r="A297" s="31"/>
      <c r="B297" s="30"/>
      <c r="C297" s="35"/>
      <c r="D297" s="34"/>
      <c r="E297" s="39">
        <f>IF(A297="","",SUMIFS(Transactions!$H$2:$H$1001,Transactions!$F$2:$F$1001,A297,Transactions!$C$2:$C$1001,"issue",Transactions!$D$2:$D$1001,"&gt;="&amp;(NOW()-30)))</f>
      </c>
      <c r="F297" s="39">
        <f>IF(A297="","",COUNTIFS(Transactions!$F$2:$F$1001,A297,Transactions!$C$2:$C$1001,"loan",Transactions!$D$2:$D$1001,"&gt;="&amp;(NOW()-30)))</f>
      </c>
      <c r="G297" s="39">
        <f>IF(A297="","",COUNTIFS(Transactions!$F$2:$F$1001,A297,Transactions!$C$2:$C$1001,"unfilled",Transactions!$D$2:$D$1001,"&gt;="&amp;(NOW()-30)))</f>
      </c>
      <c r="H297" s="36"/>
    </row>
    <row r="298">
      <c r="A298" s="31"/>
      <c r="B298" s="30"/>
      <c r="C298" s="35"/>
      <c r="D298" s="34"/>
      <c r="E298" s="39">
        <f>IF(A298="","",SUMIFS(Transactions!$H$2:$H$1001,Transactions!$F$2:$F$1001,A298,Transactions!$C$2:$C$1001,"issue",Transactions!$D$2:$D$1001,"&gt;="&amp;(NOW()-30)))</f>
      </c>
      <c r="F298" s="39">
        <f>IF(A298="","",COUNTIFS(Transactions!$F$2:$F$1001,A298,Transactions!$C$2:$C$1001,"loan",Transactions!$D$2:$D$1001,"&gt;="&amp;(NOW()-30)))</f>
      </c>
      <c r="G298" s="39">
        <f>IF(A298="","",COUNTIFS(Transactions!$F$2:$F$1001,A298,Transactions!$C$2:$C$1001,"unfilled",Transactions!$D$2:$D$1001,"&gt;="&amp;(NOW()-30)))</f>
      </c>
      <c r="H298" s="36"/>
    </row>
    <row r="299">
      <c r="A299" s="31"/>
      <c r="B299" s="30"/>
      <c r="C299" s="35"/>
      <c r="D299" s="34"/>
      <c r="E299" s="39">
        <f>IF(A299="","",SUMIFS(Transactions!$H$2:$H$1001,Transactions!$F$2:$F$1001,A299,Transactions!$C$2:$C$1001,"issue",Transactions!$D$2:$D$1001,"&gt;="&amp;(NOW()-30)))</f>
      </c>
      <c r="F299" s="39">
        <f>IF(A299="","",COUNTIFS(Transactions!$F$2:$F$1001,A299,Transactions!$C$2:$C$1001,"loan",Transactions!$D$2:$D$1001,"&gt;="&amp;(NOW()-30)))</f>
      </c>
      <c r="G299" s="39">
        <f>IF(A299="","",COUNTIFS(Transactions!$F$2:$F$1001,A299,Transactions!$C$2:$C$1001,"unfilled",Transactions!$D$2:$D$1001,"&gt;="&amp;(NOW()-30)))</f>
      </c>
      <c r="H299" s="36"/>
    </row>
    <row r="300">
      <c r="A300" s="31"/>
      <c r="B300" s="30"/>
      <c r="C300" s="35"/>
      <c r="D300" s="34"/>
      <c r="E300" s="39">
        <f>IF(A300="","",SUMIFS(Transactions!$H$2:$H$1001,Transactions!$F$2:$F$1001,A300,Transactions!$C$2:$C$1001,"issue",Transactions!$D$2:$D$1001,"&gt;="&amp;(NOW()-30)))</f>
      </c>
      <c r="F300" s="39">
        <f>IF(A300="","",COUNTIFS(Transactions!$F$2:$F$1001,A300,Transactions!$C$2:$C$1001,"loan",Transactions!$D$2:$D$1001,"&gt;="&amp;(NOW()-30)))</f>
      </c>
      <c r="G300" s="39">
        <f>IF(A300="","",COUNTIFS(Transactions!$F$2:$F$1001,A300,Transactions!$C$2:$C$1001,"unfilled",Transactions!$D$2:$D$1001,"&gt;="&amp;(NOW()-30)))</f>
      </c>
      <c r="H300" s="36"/>
    </row>
    <row r="301">
      <c r="A301" s="31"/>
      <c r="B301" s="30"/>
      <c r="C301" s="35"/>
      <c r="D301" s="34"/>
      <c r="E301" s="39">
        <f>IF(A301="","",SUMIFS(Transactions!$H$2:$H$1001,Transactions!$F$2:$F$1001,A301,Transactions!$C$2:$C$1001,"issue",Transactions!$D$2:$D$1001,"&gt;="&amp;(NOW()-30)))</f>
      </c>
      <c r="F301" s="39">
        <f>IF(A301="","",COUNTIFS(Transactions!$F$2:$F$1001,A301,Transactions!$C$2:$C$1001,"loan",Transactions!$D$2:$D$1001,"&gt;="&amp;(NOW()-30)))</f>
      </c>
      <c r="G301" s="39">
        <f>IF(A301="","",COUNTIFS(Transactions!$F$2:$F$1001,A301,Transactions!$C$2:$C$1001,"unfilled",Transactions!$D$2:$D$1001,"&gt;="&amp;(NOW()-30)))</f>
      </c>
      <c r="H301" s="36"/>
    </row>
  </sheetData>
  <autoFilter ref="A1:H301"/>
  <dataValidations count="3">
    <dataValidation type="custom" allowBlank="1" showInputMessage="1" showErrorMessage="1" promptTitle="Item no" prompt="One code per tool type, e.g. TW-50NM. Every unit of that type on the Units sheet points here." errorTitle="Item no already used" error="Each item type needs its own code. This one is already on the sheet." sqref="A2:A301">
      <formula1>COUNTIF($A$2:$A$301,A2)=1</formula1>
    </dataValidation>
    <dataValidation type="list" allowBlank="1" showInputMessage="1" showErrorMessage="1" promptTitle="Class" prompt="durable = loaned and returned. consumable = issued by quantity, never returns. gauge = a durable with a calibration date." errorTitle="Class" error="Use one of durable, consumable or gauge." sqref="C2:C301">
      <formula1>"durable,consumable,gauge"</formula1>
    </dataValidation>
    <dataValidation type="whole" operator="greaterThanOrEqual" allowBlank="1" showInputMessage="1" showErrorMessage="1" promptTitle="Default loan" prompt="Hours a loan of this item runs before it is due back. Blank for consumables." errorTitle="Default loan" error="Use a whole number of hours." sqref="D2:D301">
      <formula1>1</formula1>
    </dataValidation>
  </dataValidations>
  <pageMargins left="0.7" right="0.7" top="0.75" bottom="0.75" header="0.3" footer="0.3"/>
  <pageSetup orientation="landscape" fitToWidth="1" fitToHeight="0"/>
  <headerFooter>
    <oddFooter>&amp;L&amp;8TagLogger tool crib item master&amp;R&amp;8Page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11827"/>
    <pageSetUpPr fitToPage="1"/>
  </sheetPr>
  <dimension ref="A1:I5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/>
  <cols>
    <col min="1" max="1" width="12" customWidth="1"/>
    <col min="2" max="2" width="12" customWidth="1"/>
    <col min="3" max="3" width="30" customWidth="1"/>
    <col min="4" max="4" width="14" customWidth="1"/>
    <col min="5" max="5" width="12" customWidth="1"/>
    <col min="6" max="6" width="14" customWidth="1"/>
    <col min="7" max="7" width="12" customWidth="1"/>
    <col min="8" max="8" width="12" customWidth="1"/>
    <col min="9" max="9" width="30" customWidth="1"/>
  </cols>
  <sheetData>
    <row r="1" ht="32" customHeight="1">
      <c r="A1" s="1" t="inlineStr">
        <is>
          <t xml:space="preserve">Asset ID</t>
        </is>
      </c>
      <c r="B1" s="1" t="inlineStr">
        <is>
          <t xml:space="preserve">Item no</t>
        </is>
      </c>
      <c r="C1" s="41" t="inlineStr">
        <is>
          <t xml:space="preserve">Description</t>
        </is>
      </c>
      <c r="D1" s="1" t="inlineStr">
        <is>
          <t xml:space="preserve">Serial</t>
        </is>
      </c>
      <c r="E1" s="25" t="inlineStr">
        <is>
          <t xml:space="preserve">Cal due</t>
        </is>
      </c>
      <c r="F1" s="42" t="inlineStr">
        <is>
          <t xml:space="preserve">Cal status</t>
        </is>
      </c>
      <c r="G1" s="1" t="inlineStr">
        <is>
          <t xml:space="preserve">Home bin</t>
        </is>
      </c>
      <c r="H1" s="42" t="inlineStr">
        <is>
          <t xml:space="preserve">Status now</t>
        </is>
      </c>
      <c r="I1" s="1" t="inlineStr">
        <is>
          <t xml:space="preserve">Notes</t>
        </is>
      </c>
    </row>
    <row r="2">
      <c r="A2" s="31" t="inlineStr">
        <is>
          <t xml:space="preserve">TW-0412</t>
        </is>
      </c>
      <c r="B2" s="31" t="inlineStr">
        <is>
          <t xml:space="preserve">TW-50NM</t>
        </is>
      </c>
      <c r="C2" s="37">
        <f>IF(B2="","",IFERROR(INDEX('Item master'!$B$2:$B$301,MATCH(B2,'Item master'!$A$2:$A$301,0))&amp;"",""))</f>
      </c>
      <c r="D2" s="31" t="inlineStr">
        <is>
          <t xml:space="preserve">0412-TW</t>
        </is>
      </c>
      <c r="E2" s="32">
        <v>46357</v>
      </c>
      <c r="F2" s="38">
        <f>IF(OR(A2="",E2=""),"",IF(E2&lt;TODAY(),"Overdue",IF(E2&lt;=TODAY()+14,"Due in 14 days","OK")))</f>
      </c>
      <c r="G2" s="30" t="inlineStr">
        <is>
          <t xml:space="preserve">A-03</t>
        </is>
      </c>
      <c r="H2" s="38">
        <f>IF(A2="","",IF(COUNTIFS(Transactions!$E$2:$E$1001,A2,Transactions!$A$2:$A$1001,"Overdue")&gt;0,"Overdue",IF(COUNTIFS(Transactions!$E$2:$E$1001,A2,Transactions!$A$2:$A$1001,"Open")&gt;0,"Out","In")))</f>
      </c>
      <c r="I2" s="36"/>
    </row>
    <row r="3">
      <c r="A3" s="31" t="inlineStr">
        <is>
          <t xml:space="preserve">MIC-0107</t>
        </is>
      </c>
      <c r="B3" s="31" t="inlineStr">
        <is>
          <t xml:space="preserve">MIC-0-25</t>
        </is>
      </c>
      <c r="C3" s="37">
        <f>IF(B3="","",IFERROR(INDEX('Item master'!$B$2:$B$301,MATCH(B3,'Item master'!$A$2:$A$301,0))&amp;"",""))</f>
      </c>
      <c r="D3" s="31" t="inlineStr">
        <is>
          <t xml:space="preserve">M25-00107</t>
        </is>
      </c>
      <c r="E3" s="32">
        <v>46283</v>
      </c>
      <c r="F3" s="38">
        <f>IF(OR(A3="",E3=""),"",IF(E3&lt;TODAY(),"Overdue",IF(E3&lt;=TODAY()+14,"Due in 14 days","OK")))</f>
      </c>
      <c r="G3" s="30" t="inlineStr">
        <is>
          <t xml:space="preserve">G-01</t>
        </is>
      </c>
      <c r="H3" s="38">
        <f>IF(A3="","",IF(COUNTIFS(Transactions!$E$2:$E$1001,A3,Transactions!$A$2:$A$1001,"Overdue")&gt;0,"Overdue",IF(COUNTIFS(Transactions!$E$2:$E$1001,A3,Transactions!$A$2:$A$1001,"Open")&gt;0,"Out","In")))</f>
      </c>
      <c r="I3" s="36"/>
    </row>
    <row r="4">
      <c r="A4" s="31" t="inlineStr">
        <is>
          <t xml:space="preserve">MIC-0112</t>
        </is>
      </c>
      <c r="B4" s="31" t="inlineStr">
        <is>
          <t xml:space="preserve">MIC-0-25</t>
        </is>
      </c>
      <c r="C4" s="37">
        <f>IF(B4="","",IFERROR(INDEX('Item master'!$B$2:$B$301,MATCH(B4,'Item master'!$A$2:$A$301,0))&amp;"",""))</f>
      </c>
      <c r="D4" s="31" t="inlineStr">
        <is>
          <t xml:space="preserve">M25-00112</t>
        </is>
      </c>
      <c r="E4" s="32">
        <v>46296</v>
      </c>
      <c r="F4" s="38">
        <f>IF(OR(A4="",E4=""),"",IF(E4&lt;TODAY(),"Overdue",IF(E4&lt;=TODAY()+14,"Due in 14 days","OK")))</f>
      </c>
      <c r="G4" s="30" t="inlineStr">
        <is>
          <t xml:space="preserve">G-01</t>
        </is>
      </c>
      <c r="H4" s="38">
        <f>IF(A4="","",IF(COUNTIFS(Transactions!$E$2:$E$1001,A4,Transactions!$A$2:$A$1001,"Overdue")&gt;0,"Overdue",IF(COUNTIFS(Transactions!$E$2:$E$1001,A4,Transactions!$A$2:$A$1001,"Open")&gt;0,"Out","In")))</f>
      </c>
      <c r="I4" s="36"/>
    </row>
    <row r="5">
      <c r="A5" s="31"/>
      <c r="B5" s="31"/>
      <c r="C5" s="37">
        <f>IF(B5="","",IFERROR(INDEX('Item master'!$B$2:$B$301,MATCH(B5,'Item master'!$A$2:$A$301,0))&amp;"",""))</f>
      </c>
      <c r="D5" s="31"/>
      <c r="E5" s="32"/>
      <c r="F5" s="38">
        <f>IF(OR(A5="",E5=""),"",IF(E5&lt;TODAY(),"Overdue",IF(E5&lt;=TODAY()+14,"Due in 14 days","OK")))</f>
      </c>
      <c r="G5" s="30"/>
      <c r="H5" s="38">
        <f>IF(A5="","",IF(COUNTIFS(Transactions!$E$2:$E$1001,A5,Transactions!$A$2:$A$1001,"Overdue")&gt;0,"Overdue",IF(COUNTIFS(Transactions!$E$2:$E$1001,A5,Transactions!$A$2:$A$1001,"Open")&gt;0,"Out","In")))</f>
      </c>
      <c r="I5" s="36"/>
    </row>
    <row r="6">
      <c r="A6" s="31"/>
      <c r="B6" s="31"/>
      <c r="C6" s="37">
        <f>IF(B6="","",IFERROR(INDEX('Item master'!$B$2:$B$301,MATCH(B6,'Item master'!$A$2:$A$301,0))&amp;"",""))</f>
      </c>
      <c r="D6" s="31"/>
      <c r="E6" s="32"/>
      <c r="F6" s="38">
        <f>IF(OR(A6="",E6=""),"",IF(E6&lt;TODAY(),"Overdue",IF(E6&lt;=TODAY()+14,"Due in 14 days","OK")))</f>
      </c>
      <c r="G6" s="30"/>
      <c r="H6" s="38">
        <f>IF(A6="","",IF(COUNTIFS(Transactions!$E$2:$E$1001,A6,Transactions!$A$2:$A$1001,"Overdue")&gt;0,"Overdue",IF(COUNTIFS(Transactions!$E$2:$E$1001,A6,Transactions!$A$2:$A$1001,"Open")&gt;0,"Out","In")))</f>
      </c>
      <c r="I6" s="36"/>
    </row>
    <row r="7">
      <c r="A7" s="31"/>
      <c r="B7" s="31"/>
      <c r="C7" s="37">
        <f>IF(B7="","",IFERROR(INDEX('Item master'!$B$2:$B$301,MATCH(B7,'Item master'!$A$2:$A$301,0))&amp;"",""))</f>
      </c>
      <c r="D7" s="31"/>
      <c r="E7" s="32"/>
      <c r="F7" s="38">
        <f>IF(OR(A7="",E7=""),"",IF(E7&lt;TODAY(),"Overdue",IF(E7&lt;=TODAY()+14,"Due in 14 days","OK")))</f>
      </c>
      <c r="G7" s="30"/>
      <c r="H7" s="38">
        <f>IF(A7="","",IF(COUNTIFS(Transactions!$E$2:$E$1001,A7,Transactions!$A$2:$A$1001,"Overdue")&gt;0,"Overdue",IF(COUNTIFS(Transactions!$E$2:$E$1001,A7,Transactions!$A$2:$A$1001,"Open")&gt;0,"Out","In")))</f>
      </c>
      <c r="I7" s="36"/>
    </row>
    <row r="8">
      <c r="A8" s="31"/>
      <c r="B8" s="31"/>
      <c r="C8" s="37">
        <f>IF(B8="","",IFERROR(INDEX('Item master'!$B$2:$B$301,MATCH(B8,'Item master'!$A$2:$A$301,0))&amp;"",""))</f>
      </c>
      <c r="D8" s="31"/>
      <c r="E8" s="32"/>
      <c r="F8" s="38">
        <f>IF(OR(A8="",E8=""),"",IF(E8&lt;TODAY(),"Overdue",IF(E8&lt;=TODAY()+14,"Due in 14 days","OK")))</f>
      </c>
      <c r="G8" s="30"/>
      <c r="H8" s="38">
        <f>IF(A8="","",IF(COUNTIFS(Transactions!$E$2:$E$1001,A8,Transactions!$A$2:$A$1001,"Overdue")&gt;0,"Overdue",IF(COUNTIFS(Transactions!$E$2:$E$1001,A8,Transactions!$A$2:$A$1001,"Open")&gt;0,"Out","In")))</f>
      </c>
      <c r="I8" s="36"/>
    </row>
    <row r="9">
      <c r="A9" s="31"/>
      <c r="B9" s="31"/>
      <c r="C9" s="37">
        <f>IF(B9="","",IFERROR(INDEX('Item master'!$B$2:$B$301,MATCH(B9,'Item master'!$A$2:$A$301,0))&amp;"",""))</f>
      </c>
      <c r="D9" s="31"/>
      <c r="E9" s="32"/>
      <c r="F9" s="38">
        <f>IF(OR(A9="",E9=""),"",IF(E9&lt;TODAY(),"Overdue",IF(E9&lt;=TODAY()+14,"Due in 14 days","OK")))</f>
      </c>
      <c r="G9" s="30"/>
      <c r="H9" s="38">
        <f>IF(A9="","",IF(COUNTIFS(Transactions!$E$2:$E$1001,A9,Transactions!$A$2:$A$1001,"Overdue")&gt;0,"Overdue",IF(COUNTIFS(Transactions!$E$2:$E$1001,A9,Transactions!$A$2:$A$1001,"Open")&gt;0,"Out","In")))</f>
      </c>
      <c r="I9" s="36"/>
    </row>
    <row r="10">
      <c r="A10" s="31"/>
      <c r="B10" s="31"/>
      <c r="C10" s="37">
        <f>IF(B10="","",IFERROR(INDEX('Item master'!$B$2:$B$301,MATCH(B10,'Item master'!$A$2:$A$301,0))&amp;"",""))</f>
      </c>
      <c r="D10" s="31"/>
      <c r="E10" s="32"/>
      <c r="F10" s="38">
        <f>IF(OR(A10="",E10=""),"",IF(E10&lt;TODAY(),"Overdue",IF(E10&lt;=TODAY()+14,"Due in 14 days","OK")))</f>
      </c>
      <c r="G10" s="30"/>
      <c r="H10" s="38">
        <f>IF(A10="","",IF(COUNTIFS(Transactions!$E$2:$E$1001,A10,Transactions!$A$2:$A$1001,"Overdue")&gt;0,"Overdue",IF(COUNTIFS(Transactions!$E$2:$E$1001,A10,Transactions!$A$2:$A$1001,"Open")&gt;0,"Out","In")))</f>
      </c>
      <c r="I10" s="36"/>
    </row>
    <row r="11">
      <c r="A11" s="31"/>
      <c r="B11" s="31"/>
      <c r="C11" s="37">
        <f>IF(B11="","",IFERROR(INDEX('Item master'!$B$2:$B$301,MATCH(B11,'Item master'!$A$2:$A$301,0))&amp;"",""))</f>
      </c>
      <c r="D11" s="31"/>
      <c r="E11" s="32"/>
      <c r="F11" s="38">
        <f>IF(OR(A11="",E11=""),"",IF(E11&lt;TODAY(),"Overdue",IF(E11&lt;=TODAY()+14,"Due in 14 days","OK")))</f>
      </c>
      <c r="G11" s="30"/>
      <c r="H11" s="38">
        <f>IF(A11="","",IF(COUNTIFS(Transactions!$E$2:$E$1001,A11,Transactions!$A$2:$A$1001,"Overdue")&gt;0,"Overdue",IF(COUNTIFS(Transactions!$E$2:$E$1001,A11,Transactions!$A$2:$A$1001,"Open")&gt;0,"Out","In")))</f>
      </c>
      <c r="I11" s="36"/>
    </row>
    <row r="12">
      <c r="A12" s="31"/>
      <c r="B12" s="31"/>
      <c r="C12" s="37">
        <f>IF(B12="","",IFERROR(INDEX('Item master'!$B$2:$B$301,MATCH(B12,'Item master'!$A$2:$A$301,0))&amp;"",""))</f>
      </c>
      <c r="D12" s="31"/>
      <c r="E12" s="32"/>
      <c r="F12" s="38">
        <f>IF(OR(A12="",E12=""),"",IF(E12&lt;TODAY(),"Overdue",IF(E12&lt;=TODAY()+14,"Due in 14 days","OK")))</f>
      </c>
      <c r="G12" s="30"/>
      <c r="H12" s="38">
        <f>IF(A12="","",IF(COUNTIFS(Transactions!$E$2:$E$1001,A12,Transactions!$A$2:$A$1001,"Overdue")&gt;0,"Overdue",IF(COUNTIFS(Transactions!$E$2:$E$1001,A12,Transactions!$A$2:$A$1001,"Open")&gt;0,"Out","In")))</f>
      </c>
      <c r="I12" s="36"/>
    </row>
    <row r="13">
      <c r="A13" s="31"/>
      <c r="B13" s="31"/>
      <c r="C13" s="37">
        <f>IF(B13="","",IFERROR(INDEX('Item master'!$B$2:$B$301,MATCH(B13,'Item master'!$A$2:$A$301,0))&amp;"",""))</f>
      </c>
      <c r="D13" s="31"/>
      <c r="E13" s="32"/>
      <c r="F13" s="38">
        <f>IF(OR(A13="",E13=""),"",IF(E13&lt;TODAY(),"Overdue",IF(E13&lt;=TODAY()+14,"Due in 14 days","OK")))</f>
      </c>
      <c r="G13" s="30"/>
      <c r="H13" s="38">
        <f>IF(A13="","",IF(COUNTIFS(Transactions!$E$2:$E$1001,A13,Transactions!$A$2:$A$1001,"Overdue")&gt;0,"Overdue",IF(COUNTIFS(Transactions!$E$2:$E$1001,A13,Transactions!$A$2:$A$1001,"Open")&gt;0,"Out","In")))</f>
      </c>
      <c r="I13" s="36"/>
    </row>
    <row r="14">
      <c r="A14" s="31"/>
      <c r="B14" s="31"/>
      <c r="C14" s="37">
        <f>IF(B14="","",IFERROR(INDEX('Item master'!$B$2:$B$301,MATCH(B14,'Item master'!$A$2:$A$301,0))&amp;"",""))</f>
      </c>
      <c r="D14" s="31"/>
      <c r="E14" s="32"/>
      <c r="F14" s="38">
        <f>IF(OR(A14="",E14=""),"",IF(E14&lt;TODAY(),"Overdue",IF(E14&lt;=TODAY()+14,"Due in 14 days","OK")))</f>
      </c>
      <c r="G14" s="30"/>
      <c r="H14" s="38">
        <f>IF(A14="","",IF(COUNTIFS(Transactions!$E$2:$E$1001,A14,Transactions!$A$2:$A$1001,"Overdue")&gt;0,"Overdue",IF(COUNTIFS(Transactions!$E$2:$E$1001,A14,Transactions!$A$2:$A$1001,"Open")&gt;0,"Out","In")))</f>
      </c>
      <c r="I14" s="36"/>
    </row>
    <row r="15">
      <c r="A15" s="31"/>
      <c r="B15" s="31"/>
      <c r="C15" s="37">
        <f>IF(B15="","",IFERROR(INDEX('Item master'!$B$2:$B$301,MATCH(B15,'Item master'!$A$2:$A$301,0))&amp;"",""))</f>
      </c>
      <c r="D15" s="31"/>
      <c r="E15" s="32"/>
      <c r="F15" s="38">
        <f>IF(OR(A15="",E15=""),"",IF(E15&lt;TODAY(),"Overdue",IF(E15&lt;=TODAY()+14,"Due in 14 days","OK")))</f>
      </c>
      <c r="G15" s="30"/>
      <c r="H15" s="38">
        <f>IF(A15="","",IF(COUNTIFS(Transactions!$E$2:$E$1001,A15,Transactions!$A$2:$A$1001,"Overdue")&gt;0,"Overdue",IF(COUNTIFS(Transactions!$E$2:$E$1001,A15,Transactions!$A$2:$A$1001,"Open")&gt;0,"Out","In")))</f>
      </c>
      <c r="I15" s="36"/>
    </row>
    <row r="16">
      <c r="A16" s="31"/>
      <c r="B16" s="31"/>
      <c r="C16" s="37">
        <f>IF(B16="","",IFERROR(INDEX('Item master'!$B$2:$B$301,MATCH(B16,'Item master'!$A$2:$A$301,0))&amp;"",""))</f>
      </c>
      <c r="D16" s="31"/>
      <c r="E16" s="32"/>
      <c r="F16" s="38">
        <f>IF(OR(A16="",E16=""),"",IF(E16&lt;TODAY(),"Overdue",IF(E16&lt;=TODAY()+14,"Due in 14 days","OK")))</f>
      </c>
      <c r="G16" s="30"/>
      <c r="H16" s="38">
        <f>IF(A16="","",IF(COUNTIFS(Transactions!$E$2:$E$1001,A16,Transactions!$A$2:$A$1001,"Overdue")&gt;0,"Overdue",IF(COUNTIFS(Transactions!$E$2:$E$1001,A16,Transactions!$A$2:$A$1001,"Open")&gt;0,"Out","In")))</f>
      </c>
      <c r="I16" s="36"/>
    </row>
    <row r="17">
      <c r="A17" s="31"/>
      <c r="B17" s="31"/>
      <c r="C17" s="37">
        <f>IF(B17="","",IFERROR(INDEX('Item master'!$B$2:$B$301,MATCH(B17,'Item master'!$A$2:$A$301,0))&amp;"",""))</f>
      </c>
      <c r="D17" s="31"/>
      <c r="E17" s="32"/>
      <c r="F17" s="38">
        <f>IF(OR(A17="",E17=""),"",IF(E17&lt;TODAY(),"Overdue",IF(E17&lt;=TODAY()+14,"Due in 14 days","OK")))</f>
      </c>
      <c r="G17" s="30"/>
      <c r="H17" s="38">
        <f>IF(A17="","",IF(COUNTIFS(Transactions!$E$2:$E$1001,A17,Transactions!$A$2:$A$1001,"Overdue")&gt;0,"Overdue",IF(COUNTIFS(Transactions!$E$2:$E$1001,A17,Transactions!$A$2:$A$1001,"Open")&gt;0,"Out","In")))</f>
      </c>
      <c r="I17" s="36"/>
    </row>
    <row r="18">
      <c r="A18" s="31"/>
      <c r="B18" s="31"/>
      <c r="C18" s="37">
        <f>IF(B18="","",IFERROR(INDEX('Item master'!$B$2:$B$301,MATCH(B18,'Item master'!$A$2:$A$301,0))&amp;"",""))</f>
      </c>
      <c r="D18" s="31"/>
      <c r="E18" s="32"/>
      <c r="F18" s="38">
        <f>IF(OR(A18="",E18=""),"",IF(E18&lt;TODAY(),"Overdue",IF(E18&lt;=TODAY()+14,"Due in 14 days","OK")))</f>
      </c>
      <c r="G18" s="30"/>
      <c r="H18" s="38">
        <f>IF(A18="","",IF(COUNTIFS(Transactions!$E$2:$E$1001,A18,Transactions!$A$2:$A$1001,"Overdue")&gt;0,"Overdue",IF(COUNTIFS(Transactions!$E$2:$E$1001,A18,Transactions!$A$2:$A$1001,"Open")&gt;0,"Out","In")))</f>
      </c>
      <c r="I18" s="36"/>
    </row>
    <row r="19">
      <c r="A19" s="31"/>
      <c r="B19" s="31"/>
      <c r="C19" s="37">
        <f>IF(B19="","",IFERROR(INDEX('Item master'!$B$2:$B$301,MATCH(B19,'Item master'!$A$2:$A$301,0))&amp;"",""))</f>
      </c>
      <c r="D19" s="31"/>
      <c r="E19" s="32"/>
      <c r="F19" s="38">
        <f>IF(OR(A19="",E19=""),"",IF(E19&lt;TODAY(),"Overdue",IF(E19&lt;=TODAY()+14,"Due in 14 days","OK")))</f>
      </c>
      <c r="G19" s="30"/>
      <c r="H19" s="38">
        <f>IF(A19="","",IF(COUNTIFS(Transactions!$E$2:$E$1001,A19,Transactions!$A$2:$A$1001,"Overdue")&gt;0,"Overdue",IF(COUNTIFS(Transactions!$E$2:$E$1001,A19,Transactions!$A$2:$A$1001,"Open")&gt;0,"Out","In")))</f>
      </c>
      <c r="I19" s="36"/>
    </row>
    <row r="20">
      <c r="A20" s="31"/>
      <c r="B20" s="31"/>
      <c r="C20" s="37">
        <f>IF(B20="","",IFERROR(INDEX('Item master'!$B$2:$B$301,MATCH(B20,'Item master'!$A$2:$A$301,0))&amp;"",""))</f>
      </c>
      <c r="D20" s="31"/>
      <c r="E20" s="32"/>
      <c r="F20" s="38">
        <f>IF(OR(A20="",E20=""),"",IF(E20&lt;TODAY(),"Overdue",IF(E20&lt;=TODAY()+14,"Due in 14 days","OK")))</f>
      </c>
      <c r="G20" s="30"/>
      <c r="H20" s="38">
        <f>IF(A20="","",IF(COUNTIFS(Transactions!$E$2:$E$1001,A20,Transactions!$A$2:$A$1001,"Overdue")&gt;0,"Overdue",IF(COUNTIFS(Transactions!$E$2:$E$1001,A20,Transactions!$A$2:$A$1001,"Open")&gt;0,"Out","In")))</f>
      </c>
      <c r="I20" s="36"/>
    </row>
    <row r="21">
      <c r="A21" s="31"/>
      <c r="B21" s="31"/>
      <c r="C21" s="37">
        <f>IF(B21="","",IFERROR(INDEX('Item master'!$B$2:$B$301,MATCH(B21,'Item master'!$A$2:$A$301,0))&amp;"",""))</f>
      </c>
      <c r="D21" s="31"/>
      <c r="E21" s="32"/>
      <c r="F21" s="38">
        <f>IF(OR(A21="",E21=""),"",IF(E21&lt;TODAY(),"Overdue",IF(E21&lt;=TODAY()+14,"Due in 14 days","OK")))</f>
      </c>
      <c r="G21" s="30"/>
      <c r="H21" s="38">
        <f>IF(A21="","",IF(COUNTIFS(Transactions!$E$2:$E$1001,A21,Transactions!$A$2:$A$1001,"Overdue")&gt;0,"Overdue",IF(COUNTIFS(Transactions!$E$2:$E$1001,A21,Transactions!$A$2:$A$1001,"Open")&gt;0,"Out","In")))</f>
      </c>
      <c r="I21" s="36"/>
    </row>
    <row r="22">
      <c r="A22" s="31"/>
      <c r="B22" s="31"/>
      <c r="C22" s="37">
        <f>IF(B22="","",IFERROR(INDEX('Item master'!$B$2:$B$301,MATCH(B22,'Item master'!$A$2:$A$301,0))&amp;"",""))</f>
      </c>
      <c r="D22" s="31"/>
      <c r="E22" s="32"/>
      <c r="F22" s="38">
        <f>IF(OR(A22="",E22=""),"",IF(E22&lt;TODAY(),"Overdue",IF(E22&lt;=TODAY()+14,"Due in 14 days","OK")))</f>
      </c>
      <c r="G22" s="30"/>
      <c r="H22" s="38">
        <f>IF(A22="","",IF(COUNTIFS(Transactions!$E$2:$E$1001,A22,Transactions!$A$2:$A$1001,"Overdue")&gt;0,"Overdue",IF(COUNTIFS(Transactions!$E$2:$E$1001,A22,Transactions!$A$2:$A$1001,"Open")&gt;0,"Out","In")))</f>
      </c>
      <c r="I22" s="36"/>
    </row>
    <row r="23">
      <c r="A23" s="31"/>
      <c r="B23" s="31"/>
      <c r="C23" s="37">
        <f>IF(B23="","",IFERROR(INDEX('Item master'!$B$2:$B$301,MATCH(B23,'Item master'!$A$2:$A$301,0))&amp;"",""))</f>
      </c>
      <c r="D23" s="31"/>
      <c r="E23" s="32"/>
      <c r="F23" s="38">
        <f>IF(OR(A23="",E23=""),"",IF(E23&lt;TODAY(),"Overdue",IF(E23&lt;=TODAY()+14,"Due in 14 days","OK")))</f>
      </c>
      <c r="G23" s="30"/>
      <c r="H23" s="38">
        <f>IF(A23="","",IF(COUNTIFS(Transactions!$E$2:$E$1001,A23,Transactions!$A$2:$A$1001,"Overdue")&gt;0,"Overdue",IF(COUNTIFS(Transactions!$E$2:$E$1001,A23,Transactions!$A$2:$A$1001,"Open")&gt;0,"Out","In")))</f>
      </c>
      <c r="I23" s="36"/>
    </row>
    <row r="24">
      <c r="A24" s="31"/>
      <c r="B24" s="31"/>
      <c r="C24" s="37">
        <f>IF(B24="","",IFERROR(INDEX('Item master'!$B$2:$B$301,MATCH(B24,'Item master'!$A$2:$A$301,0))&amp;"",""))</f>
      </c>
      <c r="D24" s="31"/>
      <c r="E24" s="32"/>
      <c r="F24" s="38">
        <f>IF(OR(A24="",E24=""),"",IF(E24&lt;TODAY(),"Overdue",IF(E24&lt;=TODAY()+14,"Due in 14 days","OK")))</f>
      </c>
      <c r="G24" s="30"/>
      <c r="H24" s="38">
        <f>IF(A24="","",IF(COUNTIFS(Transactions!$E$2:$E$1001,A24,Transactions!$A$2:$A$1001,"Overdue")&gt;0,"Overdue",IF(COUNTIFS(Transactions!$E$2:$E$1001,A24,Transactions!$A$2:$A$1001,"Open")&gt;0,"Out","In")))</f>
      </c>
      <c r="I24" s="36"/>
    </row>
    <row r="25">
      <c r="A25" s="31"/>
      <c r="B25" s="31"/>
      <c r="C25" s="37">
        <f>IF(B25="","",IFERROR(INDEX('Item master'!$B$2:$B$301,MATCH(B25,'Item master'!$A$2:$A$301,0))&amp;"",""))</f>
      </c>
      <c r="D25" s="31"/>
      <c r="E25" s="32"/>
      <c r="F25" s="38">
        <f>IF(OR(A25="",E25=""),"",IF(E25&lt;TODAY(),"Overdue",IF(E25&lt;=TODAY()+14,"Due in 14 days","OK")))</f>
      </c>
      <c r="G25" s="30"/>
      <c r="H25" s="38">
        <f>IF(A25="","",IF(COUNTIFS(Transactions!$E$2:$E$1001,A25,Transactions!$A$2:$A$1001,"Overdue")&gt;0,"Overdue",IF(COUNTIFS(Transactions!$E$2:$E$1001,A25,Transactions!$A$2:$A$1001,"Open")&gt;0,"Out","In")))</f>
      </c>
      <c r="I25" s="36"/>
    </row>
    <row r="26">
      <c r="A26" s="31"/>
      <c r="B26" s="31"/>
      <c r="C26" s="37">
        <f>IF(B26="","",IFERROR(INDEX('Item master'!$B$2:$B$301,MATCH(B26,'Item master'!$A$2:$A$301,0))&amp;"",""))</f>
      </c>
      <c r="D26" s="31"/>
      <c r="E26" s="32"/>
      <c r="F26" s="38">
        <f>IF(OR(A26="",E26=""),"",IF(E26&lt;TODAY(),"Overdue",IF(E26&lt;=TODAY()+14,"Due in 14 days","OK")))</f>
      </c>
      <c r="G26" s="30"/>
      <c r="H26" s="38">
        <f>IF(A26="","",IF(COUNTIFS(Transactions!$E$2:$E$1001,A26,Transactions!$A$2:$A$1001,"Overdue")&gt;0,"Overdue",IF(COUNTIFS(Transactions!$E$2:$E$1001,A26,Transactions!$A$2:$A$1001,"Open")&gt;0,"Out","In")))</f>
      </c>
      <c r="I26" s="36"/>
    </row>
    <row r="27">
      <c r="A27" s="31"/>
      <c r="B27" s="31"/>
      <c r="C27" s="37">
        <f>IF(B27="","",IFERROR(INDEX('Item master'!$B$2:$B$301,MATCH(B27,'Item master'!$A$2:$A$301,0))&amp;"",""))</f>
      </c>
      <c r="D27" s="31"/>
      <c r="E27" s="32"/>
      <c r="F27" s="38">
        <f>IF(OR(A27="",E27=""),"",IF(E27&lt;TODAY(),"Overdue",IF(E27&lt;=TODAY()+14,"Due in 14 days","OK")))</f>
      </c>
      <c r="G27" s="30"/>
      <c r="H27" s="38">
        <f>IF(A27="","",IF(COUNTIFS(Transactions!$E$2:$E$1001,A27,Transactions!$A$2:$A$1001,"Overdue")&gt;0,"Overdue",IF(COUNTIFS(Transactions!$E$2:$E$1001,A27,Transactions!$A$2:$A$1001,"Open")&gt;0,"Out","In")))</f>
      </c>
      <c r="I27" s="36"/>
    </row>
    <row r="28">
      <c r="A28" s="31"/>
      <c r="B28" s="31"/>
      <c r="C28" s="37">
        <f>IF(B28="","",IFERROR(INDEX('Item master'!$B$2:$B$301,MATCH(B28,'Item master'!$A$2:$A$301,0))&amp;"",""))</f>
      </c>
      <c r="D28" s="31"/>
      <c r="E28" s="32"/>
      <c r="F28" s="38">
        <f>IF(OR(A28="",E28=""),"",IF(E28&lt;TODAY(),"Overdue",IF(E28&lt;=TODAY()+14,"Due in 14 days","OK")))</f>
      </c>
      <c r="G28" s="30"/>
      <c r="H28" s="38">
        <f>IF(A28="","",IF(COUNTIFS(Transactions!$E$2:$E$1001,A28,Transactions!$A$2:$A$1001,"Overdue")&gt;0,"Overdue",IF(COUNTIFS(Transactions!$E$2:$E$1001,A28,Transactions!$A$2:$A$1001,"Open")&gt;0,"Out","In")))</f>
      </c>
      <c r="I28" s="36"/>
    </row>
    <row r="29">
      <c r="A29" s="31"/>
      <c r="B29" s="31"/>
      <c r="C29" s="37">
        <f>IF(B29="","",IFERROR(INDEX('Item master'!$B$2:$B$301,MATCH(B29,'Item master'!$A$2:$A$301,0))&amp;"",""))</f>
      </c>
      <c r="D29" s="31"/>
      <c r="E29" s="32"/>
      <c r="F29" s="38">
        <f>IF(OR(A29="",E29=""),"",IF(E29&lt;TODAY(),"Overdue",IF(E29&lt;=TODAY()+14,"Due in 14 days","OK")))</f>
      </c>
      <c r="G29" s="30"/>
      <c r="H29" s="38">
        <f>IF(A29="","",IF(COUNTIFS(Transactions!$E$2:$E$1001,A29,Transactions!$A$2:$A$1001,"Overdue")&gt;0,"Overdue",IF(COUNTIFS(Transactions!$E$2:$E$1001,A29,Transactions!$A$2:$A$1001,"Open")&gt;0,"Out","In")))</f>
      </c>
      <c r="I29" s="36"/>
    </row>
    <row r="30">
      <c r="A30" s="31"/>
      <c r="B30" s="31"/>
      <c r="C30" s="37">
        <f>IF(B30="","",IFERROR(INDEX('Item master'!$B$2:$B$301,MATCH(B30,'Item master'!$A$2:$A$301,0))&amp;"",""))</f>
      </c>
      <c r="D30" s="31"/>
      <c r="E30" s="32"/>
      <c r="F30" s="38">
        <f>IF(OR(A30="",E30=""),"",IF(E30&lt;TODAY(),"Overdue",IF(E30&lt;=TODAY()+14,"Due in 14 days","OK")))</f>
      </c>
      <c r="G30" s="30"/>
      <c r="H30" s="38">
        <f>IF(A30="","",IF(COUNTIFS(Transactions!$E$2:$E$1001,A30,Transactions!$A$2:$A$1001,"Overdue")&gt;0,"Overdue",IF(COUNTIFS(Transactions!$E$2:$E$1001,A30,Transactions!$A$2:$A$1001,"Open")&gt;0,"Out","In")))</f>
      </c>
      <c r="I30" s="36"/>
    </row>
    <row r="31">
      <c r="A31" s="31"/>
      <c r="B31" s="31"/>
      <c r="C31" s="37">
        <f>IF(B31="","",IFERROR(INDEX('Item master'!$B$2:$B$301,MATCH(B31,'Item master'!$A$2:$A$301,0))&amp;"",""))</f>
      </c>
      <c r="D31" s="31"/>
      <c r="E31" s="32"/>
      <c r="F31" s="38">
        <f>IF(OR(A31="",E31=""),"",IF(E31&lt;TODAY(),"Overdue",IF(E31&lt;=TODAY()+14,"Due in 14 days","OK")))</f>
      </c>
      <c r="G31" s="30"/>
      <c r="H31" s="38">
        <f>IF(A31="","",IF(COUNTIFS(Transactions!$E$2:$E$1001,A31,Transactions!$A$2:$A$1001,"Overdue")&gt;0,"Overdue",IF(COUNTIFS(Transactions!$E$2:$E$1001,A31,Transactions!$A$2:$A$1001,"Open")&gt;0,"Out","In")))</f>
      </c>
      <c r="I31" s="36"/>
    </row>
    <row r="32">
      <c r="A32" s="31"/>
      <c r="B32" s="31"/>
      <c r="C32" s="37">
        <f>IF(B32="","",IFERROR(INDEX('Item master'!$B$2:$B$301,MATCH(B32,'Item master'!$A$2:$A$301,0))&amp;"",""))</f>
      </c>
      <c r="D32" s="31"/>
      <c r="E32" s="32"/>
      <c r="F32" s="38">
        <f>IF(OR(A32="",E32=""),"",IF(E32&lt;TODAY(),"Overdue",IF(E32&lt;=TODAY()+14,"Due in 14 days","OK")))</f>
      </c>
      <c r="G32" s="30"/>
      <c r="H32" s="38">
        <f>IF(A32="","",IF(COUNTIFS(Transactions!$E$2:$E$1001,A32,Transactions!$A$2:$A$1001,"Overdue")&gt;0,"Overdue",IF(COUNTIFS(Transactions!$E$2:$E$1001,A32,Transactions!$A$2:$A$1001,"Open")&gt;0,"Out","In")))</f>
      </c>
      <c r="I32" s="36"/>
    </row>
    <row r="33">
      <c r="A33" s="31"/>
      <c r="B33" s="31"/>
      <c r="C33" s="37">
        <f>IF(B33="","",IFERROR(INDEX('Item master'!$B$2:$B$301,MATCH(B33,'Item master'!$A$2:$A$301,0))&amp;"",""))</f>
      </c>
      <c r="D33" s="31"/>
      <c r="E33" s="32"/>
      <c r="F33" s="38">
        <f>IF(OR(A33="",E33=""),"",IF(E33&lt;TODAY(),"Overdue",IF(E33&lt;=TODAY()+14,"Due in 14 days","OK")))</f>
      </c>
      <c r="G33" s="30"/>
      <c r="H33" s="38">
        <f>IF(A33="","",IF(COUNTIFS(Transactions!$E$2:$E$1001,A33,Transactions!$A$2:$A$1001,"Overdue")&gt;0,"Overdue",IF(COUNTIFS(Transactions!$E$2:$E$1001,A33,Transactions!$A$2:$A$1001,"Open")&gt;0,"Out","In")))</f>
      </c>
      <c r="I33" s="36"/>
    </row>
    <row r="34">
      <c r="A34" s="31"/>
      <c r="B34" s="31"/>
      <c r="C34" s="37">
        <f>IF(B34="","",IFERROR(INDEX('Item master'!$B$2:$B$301,MATCH(B34,'Item master'!$A$2:$A$301,0))&amp;"",""))</f>
      </c>
      <c r="D34" s="31"/>
      <c r="E34" s="32"/>
      <c r="F34" s="38">
        <f>IF(OR(A34="",E34=""),"",IF(E34&lt;TODAY(),"Overdue",IF(E34&lt;=TODAY()+14,"Due in 14 days","OK")))</f>
      </c>
      <c r="G34" s="30"/>
      <c r="H34" s="38">
        <f>IF(A34="","",IF(COUNTIFS(Transactions!$E$2:$E$1001,A34,Transactions!$A$2:$A$1001,"Overdue")&gt;0,"Overdue",IF(COUNTIFS(Transactions!$E$2:$E$1001,A34,Transactions!$A$2:$A$1001,"Open")&gt;0,"Out","In")))</f>
      </c>
      <c r="I34" s="36"/>
    </row>
    <row r="35">
      <c r="A35" s="31"/>
      <c r="B35" s="31"/>
      <c r="C35" s="37">
        <f>IF(B35="","",IFERROR(INDEX('Item master'!$B$2:$B$301,MATCH(B35,'Item master'!$A$2:$A$301,0))&amp;"",""))</f>
      </c>
      <c r="D35" s="31"/>
      <c r="E35" s="32"/>
      <c r="F35" s="38">
        <f>IF(OR(A35="",E35=""),"",IF(E35&lt;TODAY(),"Overdue",IF(E35&lt;=TODAY()+14,"Due in 14 days","OK")))</f>
      </c>
      <c r="G35" s="30"/>
      <c r="H35" s="38">
        <f>IF(A35="","",IF(COUNTIFS(Transactions!$E$2:$E$1001,A35,Transactions!$A$2:$A$1001,"Overdue")&gt;0,"Overdue",IF(COUNTIFS(Transactions!$E$2:$E$1001,A35,Transactions!$A$2:$A$1001,"Open")&gt;0,"Out","In")))</f>
      </c>
      <c r="I35" s="36"/>
    </row>
    <row r="36">
      <c r="A36" s="31"/>
      <c r="B36" s="31"/>
      <c r="C36" s="37">
        <f>IF(B36="","",IFERROR(INDEX('Item master'!$B$2:$B$301,MATCH(B36,'Item master'!$A$2:$A$301,0))&amp;"",""))</f>
      </c>
      <c r="D36" s="31"/>
      <c r="E36" s="32"/>
      <c r="F36" s="38">
        <f>IF(OR(A36="",E36=""),"",IF(E36&lt;TODAY(),"Overdue",IF(E36&lt;=TODAY()+14,"Due in 14 days","OK")))</f>
      </c>
      <c r="G36" s="30"/>
      <c r="H36" s="38">
        <f>IF(A36="","",IF(COUNTIFS(Transactions!$E$2:$E$1001,A36,Transactions!$A$2:$A$1001,"Overdue")&gt;0,"Overdue",IF(COUNTIFS(Transactions!$E$2:$E$1001,A36,Transactions!$A$2:$A$1001,"Open")&gt;0,"Out","In")))</f>
      </c>
      <c r="I36" s="36"/>
    </row>
    <row r="37">
      <c r="A37" s="31"/>
      <c r="B37" s="31"/>
      <c r="C37" s="37">
        <f>IF(B37="","",IFERROR(INDEX('Item master'!$B$2:$B$301,MATCH(B37,'Item master'!$A$2:$A$301,0))&amp;"",""))</f>
      </c>
      <c r="D37" s="31"/>
      <c r="E37" s="32"/>
      <c r="F37" s="38">
        <f>IF(OR(A37="",E37=""),"",IF(E37&lt;TODAY(),"Overdue",IF(E37&lt;=TODAY()+14,"Due in 14 days","OK")))</f>
      </c>
      <c r="G37" s="30"/>
      <c r="H37" s="38">
        <f>IF(A37="","",IF(COUNTIFS(Transactions!$E$2:$E$1001,A37,Transactions!$A$2:$A$1001,"Overdue")&gt;0,"Overdue",IF(COUNTIFS(Transactions!$E$2:$E$1001,A37,Transactions!$A$2:$A$1001,"Open")&gt;0,"Out","In")))</f>
      </c>
      <c r="I37" s="36"/>
    </row>
    <row r="38">
      <c r="A38" s="31"/>
      <c r="B38" s="31"/>
      <c r="C38" s="37">
        <f>IF(B38="","",IFERROR(INDEX('Item master'!$B$2:$B$301,MATCH(B38,'Item master'!$A$2:$A$301,0))&amp;"",""))</f>
      </c>
      <c r="D38" s="31"/>
      <c r="E38" s="32"/>
      <c r="F38" s="38">
        <f>IF(OR(A38="",E38=""),"",IF(E38&lt;TODAY(),"Overdue",IF(E38&lt;=TODAY()+14,"Due in 14 days","OK")))</f>
      </c>
      <c r="G38" s="30"/>
      <c r="H38" s="38">
        <f>IF(A38="","",IF(COUNTIFS(Transactions!$E$2:$E$1001,A38,Transactions!$A$2:$A$1001,"Overdue")&gt;0,"Overdue",IF(COUNTIFS(Transactions!$E$2:$E$1001,A38,Transactions!$A$2:$A$1001,"Open")&gt;0,"Out","In")))</f>
      </c>
      <c r="I38" s="36"/>
    </row>
    <row r="39">
      <c r="A39" s="31"/>
      <c r="B39" s="31"/>
      <c r="C39" s="37">
        <f>IF(B39="","",IFERROR(INDEX('Item master'!$B$2:$B$301,MATCH(B39,'Item master'!$A$2:$A$301,0))&amp;"",""))</f>
      </c>
      <c r="D39" s="31"/>
      <c r="E39" s="32"/>
      <c r="F39" s="38">
        <f>IF(OR(A39="",E39=""),"",IF(E39&lt;TODAY(),"Overdue",IF(E39&lt;=TODAY()+14,"Due in 14 days","OK")))</f>
      </c>
      <c r="G39" s="30"/>
      <c r="H39" s="38">
        <f>IF(A39="","",IF(COUNTIFS(Transactions!$E$2:$E$1001,A39,Transactions!$A$2:$A$1001,"Overdue")&gt;0,"Overdue",IF(COUNTIFS(Transactions!$E$2:$E$1001,A39,Transactions!$A$2:$A$1001,"Open")&gt;0,"Out","In")))</f>
      </c>
      <c r="I39" s="36"/>
    </row>
    <row r="40">
      <c r="A40" s="31"/>
      <c r="B40" s="31"/>
      <c r="C40" s="37">
        <f>IF(B40="","",IFERROR(INDEX('Item master'!$B$2:$B$301,MATCH(B40,'Item master'!$A$2:$A$301,0))&amp;"",""))</f>
      </c>
      <c r="D40" s="31"/>
      <c r="E40" s="32"/>
      <c r="F40" s="38">
        <f>IF(OR(A40="",E40=""),"",IF(E40&lt;TODAY(),"Overdue",IF(E40&lt;=TODAY()+14,"Due in 14 days","OK")))</f>
      </c>
      <c r="G40" s="30"/>
      <c r="H40" s="38">
        <f>IF(A40="","",IF(COUNTIFS(Transactions!$E$2:$E$1001,A40,Transactions!$A$2:$A$1001,"Overdue")&gt;0,"Overdue",IF(COUNTIFS(Transactions!$E$2:$E$1001,A40,Transactions!$A$2:$A$1001,"Open")&gt;0,"Out","In")))</f>
      </c>
      <c r="I40" s="36"/>
    </row>
    <row r="41">
      <c r="A41" s="31"/>
      <c r="B41" s="31"/>
      <c r="C41" s="37">
        <f>IF(B41="","",IFERROR(INDEX('Item master'!$B$2:$B$301,MATCH(B41,'Item master'!$A$2:$A$301,0))&amp;"",""))</f>
      </c>
      <c r="D41" s="31"/>
      <c r="E41" s="32"/>
      <c r="F41" s="38">
        <f>IF(OR(A41="",E41=""),"",IF(E41&lt;TODAY(),"Overdue",IF(E41&lt;=TODAY()+14,"Due in 14 days","OK")))</f>
      </c>
      <c r="G41" s="30"/>
      <c r="H41" s="38">
        <f>IF(A41="","",IF(COUNTIFS(Transactions!$E$2:$E$1001,A41,Transactions!$A$2:$A$1001,"Overdue")&gt;0,"Overdue",IF(COUNTIFS(Transactions!$E$2:$E$1001,A41,Transactions!$A$2:$A$1001,"Open")&gt;0,"Out","In")))</f>
      </c>
      <c r="I41" s="36"/>
    </row>
    <row r="42">
      <c r="A42" s="31"/>
      <c r="B42" s="31"/>
      <c r="C42" s="37">
        <f>IF(B42="","",IFERROR(INDEX('Item master'!$B$2:$B$301,MATCH(B42,'Item master'!$A$2:$A$301,0))&amp;"",""))</f>
      </c>
      <c r="D42" s="31"/>
      <c r="E42" s="32"/>
      <c r="F42" s="38">
        <f>IF(OR(A42="",E42=""),"",IF(E42&lt;TODAY(),"Overdue",IF(E42&lt;=TODAY()+14,"Due in 14 days","OK")))</f>
      </c>
      <c r="G42" s="30"/>
      <c r="H42" s="38">
        <f>IF(A42="","",IF(COUNTIFS(Transactions!$E$2:$E$1001,A42,Transactions!$A$2:$A$1001,"Overdue")&gt;0,"Overdue",IF(COUNTIFS(Transactions!$E$2:$E$1001,A42,Transactions!$A$2:$A$1001,"Open")&gt;0,"Out","In")))</f>
      </c>
      <c r="I42" s="36"/>
    </row>
    <row r="43">
      <c r="A43" s="31"/>
      <c r="B43" s="31"/>
      <c r="C43" s="37">
        <f>IF(B43="","",IFERROR(INDEX('Item master'!$B$2:$B$301,MATCH(B43,'Item master'!$A$2:$A$301,0))&amp;"",""))</f>
      </c>
      <c r="D43" s="31"/>
      <c r="E43" s="32"/>
      <c r="F43" s="38">
        <f>IF(OR(A43="",E43=""),"",IF(E43&lt;TODAY(),"Overdue",IF(E43&lt;=TODAY()+14,"Due in 14 days","OK")))</f>
      </c>
      <c r="G43" s="30"/>
      <c r="H43" s="38">
        <f>IF(A43="","",IF(COUNTIFS(Transactions!$E$2:$E$1001,A43,Transactions!$A$2:$A$1001,"Overdue")&gt;0,"Overdue",IF(COUNTIFS(Transactions!$E$2:$E$1001,A43,Transactions!$A$2:$A$1001,"Open")&gt;0,"Out","In")))</f>
      </c>
      <c r="I43" s="36"/>
    </row>
    <row r="44">
      <c r="A44" s="31"/>
      <c r="B44" s="31"/>
      <c r="C44" s="37">
        <f>IF(B44="","",IFERROR(INDEX('Item master'!$B$2:$B$301,MATCH(B44,'Item master'!$A$2:$A$301,0))&amp;"",""))</f>
      </c>
      <c r="D44" s="31"/>
      <c r="E44" s="32"/>
      <c r="F44" s="38">
        <f>IF(OR(A44="",E44=""),"",IF(E44&lt;TODAY(),"Overdue",IF(E44&lt;=TODAY()+14,"Due in 14 days","OK")))</f>
      </c>
      <c r="G44" s="30"/>
      <c r="H44" s="38">
        <f>IF(A44="","",IF(COUNTIFS(Transactions!$E$2:$E$1001,A44,Transactions!$A$2:$A$1001,"Overdue")&gt;0,"Overdue",IF(COUNTIFS(Transactions!$E$2:$E$1001,A44,Transactions!$A$2:$A$1001,"Open")&gt;0,"Out","In")))</f>
      </c>
      <c r="I44" s="36"/>
    </row>
    <row r="45">
      <c r="A45" s="31"/>
      <c r="B45" s="31"/>
      <c r="C45" s="37">
        <f>IF(B45="","",IFERROR(INDEX('Item master'!$B$2:$B$301,MATCH(B45,'Item master'!$A$2:$A$301,0))&amp;"",""))</f>
      </c>
      <c r="D45" s="31"/>
      <c r="E45" s="32"/>
      <c r="F45" s="38">
        <f>IF(OR(A45="",E45=""),"",IF(E45&lt;TODAY(),"Overdue",IF(E45&lt;=TODAY()+14,"Due in 14 days","OK")))</f>
      </c>
      <c r="G45" s="30"/>
      <c r="H45" s="38">
        <f>IF(A45="","",IF(COUNTIFS(Transactions!$E$2:$E$1001,A45,Transactions!$A$2:$A$1001,"Overdue")&gt;0,"Overdue",IF(COUNTIFS(Transactions!$E$2:$E$1001,A45,Transactions!$A$2:$A$1001,"Open")&gt;0,"Out","In")))</f>
      </c>
      <c r="I45" s="36"/>
    </row>
    <row r="46">
      <c r="A46" s="31"/>
      <c r="B46" s="31"/>
      <c r="C46" s="37">
        <f>IF(B46="","",IFERROR(INDEX('Item master'!$B$2:$B$301,MATCH(B46,'Item master'!$A$2:$A$301,0))&amp;"",""))</f>
      </c>
      <c r="D46" s="31"/>
      <c r="E46" s="32"/>
      <c r="F46" s="38">
        <f>IF(OR(A46="",E46=""),"",IF(E46&lt;TODAY(),"Overdue",IF(E46&lt;=TODAY()+14,"Due in 14 days","OK")))</f>
      </c>
      <c r="G46" s="30"/>
      <c r="H46" s="38">
        <f>IF(A46="","",IF(COUNTIFS(Transactions!$E$2:$E$1001,A46,Transactions!$A$2:$A$1001,"Overdue")&gt;0,"Overdue",IF(COUNTIFS(Transactions!$E$2:$E$1001,A46,Transactions!$A$2:$A$1001,"Open")&gt;0,"Out","In")))</f>
      </c>
      <c r="I46" s="36"/>
    </row>
    <row r="47">
      <c r="A47" s="31"/>
      <c r="B47" s="31"/>
      <c r="C47" s="37">
        <f>IF(B47="","",IFERROR(INDEX('Item master'!$B$2:$B$301,MATCH(B47,'Item master'!$A$2:$A$301,0))&amp;"",""))</f>
      </c>
      <c r="D47" s="31"/>
      <c r="E47" s="32"/>
      <c r="F47" s="38">
        <f>IF(OR(A47="",E47=""),"",IF(E47&lt;TODAY(),"Overdue",IF(E47&lt;=TODAY()+14,"Due in 14 days","OK")))</f>
      </c>
      <c r="G47" s="30"/>
      <c r="H47" s="38">
        <f>IF(A47="","",IF(COUNTIFS(Transactions!$E$2:$E$1001,A47,Transactions!$A$2:$A$1001,"Overdue")&gt;0,"Overdue",IF(COUNTIFS(Transactions!$E$2:$E$1001,A47,Transactions!$A$2:$A$1001,"Open")&gt;0,"Out","In")))</f>
      </c>
      <c r="I47" s="36"/>
    </row>
    <row r="48">
      <c r="A48" s="31"/>
      <c r="B48" s="31"/>
      <c r="C48" s="37">
        <f>IF(B48="","",IFERROR(INDEX('Item master'!$B$2:$B$301,MATCH(B48,'Item master'!$A$2:$A$301,0))&amp;"",""))</f>
      </c>
      <c r="D48" s="31"/>
      <c r="E48" s="32"/>
      <c r="F48" s="38">
        <f>IF(OR(A48="",E48=""),"",IF(E48&lt;TODAY(),"Overdue",IF(E48&lt;=TODAY()+14,"Due in 14 days","OK")))</f>
      </c>
      <c r="G48" s="30"/>
      <c r="H48" s="38">
        <f>IF(A48="","",IF(COUNTIFS(Transactions!$E$2:$E$1001,A48,Transactions!$A$2:$A$1001,"Overdue")&gt;0,"Overdue",IF(COUNTIFS(Transactions!$E$2:$E$1001,A48,Transactions!$A$2:$A$1001,"Open")&gt;0,"Out","In")))</f>
      </c>
      <c r="I48" s="36"/>
    </row>
    <row r="49">
      <c r="A49" s="31"/>
      <c r="B49" s="31"/>
      <c r="C49" s="37">
        <f>IF(B49="","",IFERROR(INDEX('Item master'!$B$2:$B$301,MATCH(B49,'Item master'!$A$2:$A$301,0))&amp;"",""))</f>
      </c>
      <c r="D49" s="31"/>
      <c r="E49" s="32"/>
      <c r="F49" s="38">
        <f>IF(OR(A49="",E49=""),"",IF(E49&lt;TODAY(),"Overdue",IF(E49&lt;=TODAY()+14,"Due in 14 days","OK")))</f>
      </c>
      <c r="G49" s="30"/>
      <c r="H49" s="38">
        <f>IF(A49="","",IF(COUNTIFS(Transactions!$E$2:$E$1001,A49,Transactions!$A$2:$A$1001,"Overdue")&gt;0,"Overdue",IF(COUNTIFS(Transactions!$E$2:$E$1001,A49,Transactions!$A$2:$A$1001,"Open")&gt;0,"Out","In")))</f>
      </c>
      <c r="I49" s="36"/>
    </row>
    <row r="50">
      <c r="A50" s="31"/>
      <c r="B50" s="31"/>
      <c r="C50" s="37">
        <f>IF(B50="","",IFERROR(INDEX('Item master'!$B$2:$B$301,MATCH(B50,'Item master'!$A$2:$A$301,0))&amp;"",""))</f>
      </c>
      <c r="D50" s="31"/>
      <c r="E50" s="32"/>
      <c r="F50" s="38">
        <f>IF(OR(A50="",E50=""),"",IF(E50&lt;TODAY(),"Overdue",IF(E50&lt;=TODAY()+14,"Due in 14 days","OK")))</f>
      </c>
      <c r="G50" s="30"/>
      <c r="H50" s="38">
        <f>IF(A50="","",IF(COUNTIFS(Transactions!$E$2:$E$1001,A50,Transactions!$A$2:$A$1001,"Overdue")&gt;0,"Overdue",IF(COUNTIFS(Transactions!$E$2:$E$1001,A50,Transactions!$A$2:$A$1001,"Open")&gt;0,"Out","In")))</f>
      </c>
      <c r="I50" s="36"/>
    </row>
    <row r="51">
      <c r="A51" s="31"/>
      <c r="B51" s="31"/>
      <c r="C51" s="37">
        <f>IF(B51="","",IFERROR(INDEX('Item master'!$B$2:$B$301,MATCH(B51,'Item master'!$A$2:$A$301,0))&amp;"",""))</f>
      </c>
      <c r="D51" s="31"/>
      <c r="E51" s="32"/>
      <c r="F51" s="38">
        <f>IF(OR(A51="",E51=""),"",IF(E51&lt;TODAY(),"Overdue",IF(E51&lt;=TODAY()+14,"Due in 14 days","OK")))</f>
      </c>
      <c r="G51" s="30"/>
      <c r="H51" s="38">
        <f>IF(A51="","",IF(COUNTIFS(Transactions!$E$2:$E$1001,A51,Transactions!$A$2:$A$1001,"Overdue")&gt;0,"Overdue",IF(COUNTIFS(Transactions!$E$2:$E$1001,A51,Transactions!$A$2:$A$1001,"Open")&gt;0,"Out","In")))</f>
      </c>
      <c r="I51" s="36"/>
    </row>
    <row r="52">
      <c r="A52" s="31"/>
      <c r="B52" s="31"/>
      <c r="C52" s="37">
        <f>IF(B52="","",IFERROR(INDEX('Item master'!$B$2:$B$301,MATCH(B52,'Item master'!$A$2:$A$301,0))&amp;"",""))</f>
      </c>
      <c r="D52" s="31"/>
      <c r="E52" s="32"/>
      <c r="F52" s="38">
        <f>IF(OR(A52="",E52=""),"",IF(E52&lt;TODAY(),"Overdue",IF(E52&lt;=TODAY()+14,"Due in 14 days","OK")))</f>
      </c>
      <c r="G52" s="30"/>
      <c r="H52" s="38">
        <f>IF(A52="","",IF(COUNTIFS(Transactions!$E$2:$E$1001,A52,Transactions!$A$2:$A$1001,"Overdue")&gt;0,"Overdue",IF(COUNTIFS(Transactions!$E$2:$E$1001,A52,Transactions!$A$2:$A$1001,"Open")&gt;0,"Out","In")))</f>
      </c>
      <c r="I52" s="36"/>
    </row>
    <row r="53">
      <c r="A53" s="31"/>
      <c r="B53" s="31"/>
      <c r="C53" s="37">
        <f>IF(B53="","",IFERROR(INDEX('Item master'!$B$2:$B$301,MATCH(B53,'Item master'!$A$2:$A$301,0))&amp;"",""))</f>
      </c>
      <c r="D53" s="31"/>
      <c r="E53" s="32"/>
      <c r="F53" s="38">
        <f>IF(OR(A53="",E53=""),"",IF(E53&lt;TODAY(),"Overdue",IF(E53&lt;=TODAY()+14,"Due in 14 days","OK")))</f>
      </c>
      <c r="G53" s="30"/>
      <c r="H53" s="38">
        <f>IF(A53="","",IF(COUNTIFS(Transactions!$E$2:$E$1001,A53,Transactions!$A$2:$A$1001,"Overdue")&gt;0,"Overdue",IF(COUNTIFS(Transactions!$E$2:$E$1001,A53,Transactions!$A$2:$A$1001,"Open")&gt;0,"Out","In")))</f>
      </c>
      <c r="I53" s="36"/>
    </row>
    <row r="54">
      <c r="A54" s="31"/>
      <c r="B54" s="31"/>
      <c r="C54" s="37">
        <f>IF(B54="","",IFERROR(INDEX('Item master'!$B$2:$B$301,MATCH(B54,'Item master'!$A$2:$A$301,0))&amp;"",""))</f>
      </c>
      <c r="D54" s="31"/>
      <c r="E54" s="32"/>
      <c r="F54" s="38">
        <f>IF(OR(A54="",E54=""),"",IF(E54&lt;TODAY(),"Overdue",IF(E54&lt;=TODAY()+14,"Due in 14 days","OK")))</f>
      </c>
      <c r="G54" s="30"/>
      <c r="H54" s="38">
        <f>IF(A54="","",IF(COUNTIFS(Transactions!$E$2:$E$1001,A54,Transactions!$A$2:$A$1001,"Overdue")&gt;0,"Overdue",IF(COUNTIFS(Transactions!$E$2:$E$1001,A54,Transactions!$A$2:$A$1001,"Open")&gt;0,"Out","In")))</f>
      </c>
      <c r="I54" s="36"/>
    </row>
    <row r="55">
      <c r="A55" s="31"/>
      <c r="B55" s="31"/>
      <c r="C55" s="37">
        <f>IF(B55="","",IFERROR(INDEX('Item master'!$B$2:$B$301,MATCH(B55,'Item master'!$A$2:$A$301,0))&amp;"",""))</f>
      </c>
      <c r="D55" s="31"/>
      <c r="E55" s="32"/>
      <c r="F55" s="38">
        <f>IF(OR(A55="",E55=""),"",IF(E55&lt;TODAY(),"Overdue",IF(E55&lt;=TODAY()+14,"Due in 14 days","OK")))</f>
      </c>
      <c r="G55" s="30"/>
      <c r="H55" s="38">
        <f>IF(A55="","",IF(COUNTIFS(Transactions!$E$2:$E$1001,A55,Transactions!$A$2:$A$1001,"Overdue")&gt;0,"Overdue",IF(COUNTIFS(Transactions!$E$2:$E$1001,A55,Transactions!$A$2:$A$1001,"Open")&gt;0,"Out","In")))</f>
      </c>
      <c r="I55" s="36"/>
    </row>
    <row r="56">
      <c r="A56" s="31"/>
      <c r="B56" s="31"/>
      <c r="C56" s="37">
        <f>IF(B56="","",IFERROR(INDEX('Item master'!$B$2:$B$301,MATCH(B56,'Item master'!$A$2:$A$301,0))&amp;"",""))</f>
      </c>
      <c r="D56" s="31"/>
      <c r="E56" s="32"/>
      <c r="F56" s="38">
        <f>IF(OR(A56="",E56=""),"",IF(E56&lt;TODAY(),"Overdue",IF(E56&lt;=TODAY()+14,"Due in 14 days","OK")))</f>
      </c>
      <c r="G56" s="30"/>
      <c r="H56" s="38">
        <f>IF(A56="","",IF(COUNTIFS(Transactions!$E$2:$E$1001,A56,Transactions!$A$2:$A$1001,"Overdue")&gt;0,"Overdue",IF(COUNTIFS(Transactions!$E$2:$E$1001,A56,Transactions!$A$2:$A$1001,"Open")&gt;0,"Out","In")))</f>
      </c>
      <c r="I56" s="36"/>
    </row>
    <row r="57">
      <c r="A57" s="31"/>
      <c r="B57" s="31"/>
      <c r="C57" s="37">
        <f>IF(B57="","",IFERROR(INDEX('Item master'!$B$2:$B$301,MATCH(B57,'Item master'!$A$2:$A$301,0))&amp;"",""))</f>
      </c>
      <c r="D57" s="31"/>
      <c r="E57" s="32"/>
      <c r="F57" s="38">
        <f>IF(OR(A57="",E57=""),"",IF(E57&lt;TODAY(),"Overdue",IF(E57&lt;=TODAY()+14,"Due in 14 days","OK")))</f>
      </c>
      <c r="G57" s="30"/>
      <c r="H57" s="38">
        <f>IF(A57="","",IF(COUNTIFS(Transactions!$E$2:$E$1001,A57,Transactions!$A$2:$A$1001,"Overdue")&gt;0,"Overdue",IF(COUNTIFS(Transactions!$E$2:$E$1001,A57,Transactions!$A$2:$A$1001,"Open")&gt;0,"Out","In")))</f>
      </c>
      <c r="I57" s="36"/>
    </row>
    <row r="58">
      <c r="A58" s="31"/>
      <c r="B58" s="31"/>
      <c r="C58" s="37">
        <f>IF(B58="","",IFERROR(INDEX('Item master'!$B$2:$B$301,MATCH(B58,'Item master'!$A$2:$A$301,0))&amp;"",""))</f>
      </c>
      <c r="D58" s="31"/>
      <c r="E58" s="32"/>
      <c r="F58" s="38">
        <f>IF(OR(A58="",E58=""),"",IF(E58&lt;TODAY(),"Overdue",IF(E58&lt;=TODAY()+14,"Due in 14 days","OK")))</f>
      </c>
      <c r="G58" s="30"/>
      <c r="H58" s="38">
        <f>IF(A58="","",IF(COUNTIFS(Transactions!$E$2:$E$1001,A58,Transactions!$A$2:$A$1001,"Overdue")&gt;0,"Overdue",IF(COUNTIFS(Transactions!$E$2:$E$1001,A58,Transactions!$A$2:$A$1001,"Open")&gt;0,"Out","In")))</f>
      </c>
      <c r="I58" s="36"/>
    </row>
    <row r="59">
      <c r="A59" s="31"/>
      <c r="B59" s="31"/>
      <c r="C59" s="37">
        <f>IF(B59="","",IFERROR(INDEX('Item master'!$B$2:$B$301,MATCH(B59,'Item master'!$A$2:$A$301,0))&amp;"",""))</f>
      </c>
      <c r="D59" s="31"/>
      <c r="E59" s="32"/>
      <c r="F59" s="38">
        <f>IF(OR(A59="",E59=""),"",IF(E59&lt;TODAY(),"Overdue",IF(E59&lt;=TODAY()+14,"Due in 14 days","OK")))</f>
      </c>
      <c r="G59" s="30"/>
      <c r="H59" s="38">
        <f>IF(A59="","",IF(COUNTIFS(Transactions!$E$2:$E$1001,A59,Transactions!$A$2:$A$1001,"Overdue")&gt;0,"Overdue",IF(COUNTIFS(Transactions!$E$2:$E$1001,A59,Transactions!$A$2:$A$1001,"Open")&gt;0,"Out","In")))</f>
      </c>
      <c r="I59" s="36"/>
    </row>
    <row r="60">
      <c r="A60" s="31"/>
      <c r="B60" s="31"/>
      <c r="C60" s="37">
        <f>IF(B60="","",IFERROR(INDEX('Item master'!$B$2:$B$301,MATCH(B60,'Item master'!$A$2:$A$301,0))&amp;"",""))</f>
      </c>
      <c r="D60" s="31"/>
      <c r="E60" s="32"/>
      <c r="F60" s="38">
        <f>IF(OR(A60="",E60=""),"",IF(E60&lt;TODAY(),"Overdue",IF(E60&lt;=TODAY()+14,"Due in 14 days","OK")))</f>
      </c>
      <c r="G60" s="30"/>
      <c r="H60" s="38">
        <f>IF(A60="","",IF(COUNTIFS(Transactions!$E$2:$E$1001,A60,Transactions!$A$2:$A$1001,"Overdue")&gt;0,"Overdue",IF(COUNTIFS(Transactions!$E$2:$E$1001,A60,Transactions!$A$2:$A$1001,"Open")&gt;0,"Out","In")))</f>
      </c>
      <c r="I60" s="36"/>
    </row>
    <row r="61">
      <c r="A61" s="31"/>
      <c r="B61" s="31"/>
      <c r="C61" s="37">
        <f>IF(B61="","",IFERROR(INDEX('Item master'!$B$2:$B$301,MATCH(B61,'Item master'!$A$2:$A$301,0))&amp;"",""))</f>
      </c>
      <c r="D61" s="31"/>
      <c r="E61" s="32"/>
      <c r="F61" s="38">
        <f>IF(OR(A61="",E61=""),"",IF(E61&lt;TODAY(),"Overdue",IF(E61&lt;=TODAY()+14,"Due in 14 days","OK")))</f>
      </c>
      <c r="G61" s="30"/>
      <c r="H61" s="38">
        <f>IF(A61="","",IF(COUNTIFS(Transactions!$E$2:$E$1001,A61,Transactions!$A$2:$A$1001,"Overdue")&gt;0,"Overdue",IF(COUNTIFS(Transactions!$E$2:$E$1001,A61,Transactions!$A$2:$A$1001,"Open")&gt;0,"Out","In")))</f>
      </c>
      <c r="I61" s="36"/>
    </row>
    <row r="62">
      <c r="A62" s="31"/>
      <c r="B62" s="31"/>
      <c r="C62" s="37">
        <f>IF(B62="","",IFERROR(INDEX('Item master'!$B$2:$B$301,MATCH(B62,'Item master'!$A$2:$A$301,0))&amp;"",""))</f>
      </c>
      <c r="D62" s="31"/>
      <c r="E62" s="32"/>
      <c r="F62" s="38">
        <f>IF(OR(A62="",E62=""),"",IF(E62&lt;TODAY(),"Overdue",IF(E62&lt;=TODAY()+14,"Due in 14 days","OK")))</f>
      </c>
      <c r="G62" s="30"/>
      <c r="H62" s="38">
        <f>IF(A62="","",IF(COUNTIFS(Transactions!$E$2:$E$1001,A62,Transactions!$A$2:$A$1001,"Overdue")&gt;0,"Overdue",IF(COUNTIFS(Transactions!$E$2:$E$1001,A62,Transactions!$A$2:$A$1001,"Open")&gt;0,"Out","In")))</f>
      </c>
      <c r="I62" s="36"/>
    </row>
    <row r="63">
      <c r="A63" s="31"/>
      <c r="B63" s="31"/>
      <c r="C63" s="37">
        <f>IF(B63="","",IFERROR(INDEX('Item master'!$B$2:$B$301,MATCH(B63,'Item master'!$A$2:$A$301,0))&amp;"",""))</f>
      </c>
      <c r="D63" s="31"/>
      <c r="E63" s="32"/>
      <c r="F63" s="38">
        <f>IF(OR(A63="",E63=""),"",IF(E63&lt;TODAY(),"Overdue",IF(E63&lt;=TODAY()+14,"Due in 14 days","OK")))</f>
      </c>
      <c r="G63" s="30"/>
      <c r="H63" s="38">
        <f>IF(A63="","",IF(COUNTIFS(Transactions!$E$2:$E$1001,A63,Transactions!$A$2:$A$1001,"Overdue")&gt;0,"Overdue",IF(COUNTIFS(Transactions!$E$2:$E$1001,A63,Transactions!$A$2:$A$1001,"Open")&gt;0,"Out","In")))</f>
      </c>
      <c r="I63" s="36"/>
    </row>
    <row r="64">
      <c r="A64" s="31"/>
      <c r="B64" s="31"/>
      <c r="C64" s="37">
        <f>IF(B64="","",IFERROR(INDEX('Item master'!$B$2:$B$301,MATCH(B64,'Item master'!$A$2:$A$301,0))&amp;"",""))</f>
      </c>
      <c r="D64" s="31"/>
      <c r="E64" s="32"/>
      <c r="F64" s="38">
        <f>IF(OR(A64="",E64=""),"",IF(E64&lt;TODAY(),"Overdue",IF(E64&lt;=TODAY()+14,"Due in 14 days","OK")))</f>
      </c>
      <c r="G64" s="30"/>
      <c r="H64" s="38">
        <f>IF(A64="","",IF(COUNTIFS(Transactions!$E$2:$E$1001,A64,Transactions!$A$2:$A$1001,"Overdue")&gt;0,"Overdue",IF(COUNTIFS(Transactions!$E$2:$E$1001,A64,Transactions!$A$2:$A$1001,"Open")&gt;0,"Out","In")))</f>
      </c>
      <c r="I64" s="36"/>
    </row>
    <row r="65">
      <c r="A65" s="31"/>
      <c r="B65" s="31"/>
      <c r="C65" s="37">
        <f>IF(B65="","",IFERROR(INDEX('Item master'!$B$2:$B$301,MATCH(B65,'Item master'!$A$2:$A$301,0))&amp;"",""))</f>
      </c>
      <c r="D65" s="31"/>
      <c r="E65" s="32"/>
      <c r="F65" s="38">
        <f>IF(OR(A65="",E65=""),"",IF(E65&lt;TODAY(),"Overdue",IF(E65&lt;=TODAY()+14,"Due in 14 days","OK")))</f>
      </c>
      <c r="G65" s="30"/>
      <c r="H65" s="38">
        <f>IF(A65="","",IF(COUNTIFS(Transactions!$E$2:$E$1001,A65,Transactions!$A$2:$A$1001,"Overdue")&gt;0,"Overdue",IF(COUNTIFS(Transactions!$E$2:$E$1001,A65,Transactions!$A$2:$A$1001,"Open")&gt;0,"Out","In")))</f>
      </c>
      <c r="I65" s="36"/>
    </row>
    <row r="66">
      <c r="A66" s="31"/>
      <c r="B66" s="31"/>
      <c r="C66" s="37">
        <f>IF(B66="","",IFERROR(INDEX('Item master'!$B$2:$B$301,MATCH(B66,'Item master'!$A$2:$A$301,0))&amp;"",""))</f>
      </c>
      <c r="D66" s="31"/>
      <c r="E66" s="32"/>
      <c r="F66" s="38">
        <f>IF(OR(A66="",E66=""),"",IF(E66&lt;TODAY(),"Overdue",IF(E66&lt;=TODAY()+14,"Due in 14 days","OK")))</f>
      </c>
      <c r="G66" s="30"/>
      <c r="H66" s="38">
        <f>IF(A66="","",IF(COUNTIFS(Transactions!$E$2:$E$1001,A66,Transactions!$A$2:$A$1001,"Overdue")&gt;0,"Overdue",IF(COUNTIFS(Transactions!$E$2:$E$1001,A66,Transactions!$A$2:$A$1001,"Open")&gt;0,"Out","In")))</f>
      </c>
      <c r="I66" s="36"/>
    </row>
    <row r="67">
      <c r="A67" s="31"/>
      <c r="B67" s="31"/>
      <c r="C67" s="37">
        <f>IF(B67="","",IFERROR(INDEX('Item master'!$B$2:$B$301,MATCH(B67,'Item master'!$A$2:$A$301,0))&amp;"",""))</f>
      </c>
      <c r="D67" s="31"/>
      <c r="E67" s="32"/>
      <c r="F67" s="38">
        <f>IF(OR(A67="",E67=""),"",IF(E67&lt;TODAY(),"Overdue",IF(E67&lt;=TODAY()+14,"Due in 14 days","OK")))</f>
      </c>
      <c r="G67" s="30"/>
      <c r="H67" s="38">
        <f>IF(A67="","",IF(COUNTIFS(Transactions!$E$2:$E$1001,A67,Transactions!$A$2:$A$1001,"Overdue")&gt;0,"Overdue",IF(COUNTIFS(Transactions!$E$2:$E$1001,A67,Transactions!$A$2:$A$1001,"Open")&gt;0,"Out","In")))</f>
      </c>
      <c r="I67" s="36"/>
    </row>
    <row r="68">
      <c r="A68" s="31"/>
      <c r="B68" s="31"/>
      <c r="C68" s="37">
        <f>IF(B68="","",IFERROR(INDEX('Item master'!$B$2:$B$301,MATCH(B68,'Item master'!$A$2:$A$301,0))&amp;"",""))</f>
      </c>
      <c r="D68" s="31"/>
      <c r="E68" s="32"/>
      <c r="F68" s="38">
        <f>IF(OR(A68="",E68=""),"",IF(E68&lt;TODAY(),"Overdue",IF(E68&lt;=TODAY()+14,"Due in 14 days","OK")))</f>
      </c>
      <c r="G68" s="30"/>
      <c r="H68" s="38">
        <f>IF(A68="","",IF(COUNTIFS(Transactions!$E$2:$E$1001,A68,Transactions!$A$2:$A$1001,"Overdue")&gt;0,"Overdue",IF(COUNTIFS(Transactions!$E$2:$E$1001,A68,Transactions!$A$2:$A$1001,"Open")&gt;0,"Out","In")))</f>
      </c>
      <c r="I68" s="36"/>
    </row>
    <row r="69">
      <c r="A69" s="31"/>
      <c r="B69" s="31"/>
      <c r="C69" s="37">
        <f>IF(B69="","",IFERROR(INDEX('Item master'!$B$2:$B$301,MATCH(B69,'Item master'!$A$2:$A$301,0))&amp;"",""))</f>
      </c>
      <c r="D69" s="31"/>
      <c r="E69" s="32"/>
      <c r="F69" s="38">
        <f>IF(OR(A69="",E69=""),"",IF(E69&lt;TODAY(),"Overdue",IF(E69&lt;=TODAY()+14,"Due in 14 days","OK")))</f>
      </c>
      <c r="G69" s="30"/>
      <c r="H69" s="38">
        <f>IF(A69="","",IF(COUNTIFS(Transactions!$E$2:$E$1001,A69,Transactions!$A$2:$A$1001,"Overdue")&gt;0,"Overdue",IF(COUNTIFS(Transactions!$E$2:$E$1001,A69,Transactions!$A$2:$A$1001,"Open")&gt;0,"Out","In")))</f>
      </c>
      <c r="I69" s="36"/>
    </row>
    <row r="70">
      <c r="A70" s="31"/>
      <c r="B70" s="31"/>
      <c r="C70" s="37">
        <f>IF(B70="","",IFERROR(INDEX('Item master'!$B$2:$B$301,MATCH(B70,'Item master'!$A$2:$A$301,0))&amp;"",""))</f>
      </c>
      <c r="D70" s="31"/>
      <c r="E70" s="32"/>
      <c r="F70" s="38">
        <f>IF(OR(A70="",E70=""),"",IF(E70&lt;TODAY(),"Overdue",IF(E70&lt;=TODAY()+14,"Due in 14 days","OK")))</f>
      </c>
      <c r="G70" s="30"/>
      <c r="H70" s="38">
        <f>IF(A70="","",IF(COUNTIFS(Transactions!$E$2:$E$1001,A70,Transactions!$A$2:$A$1001,"Overdue")&gt;0,"Overdue",IF(COUNTIFS(Transactions!$E$2:$E$1001,A70,Transactions!$A$2:$A$1001,"Open")&gt;0,"Out","In")))</f>
      </c>
      <c r="I70" s="36"/>
    </row>
    <row r="71">
      <c r="A71" s="31"/>
      <c r="B71" s="31"/>
      <c r="C71" s="37">
        <f>IF(B71="","",IFERROR(INDEX('Item master'!$B$2:$B$301,MATCH(B71,'Item master'!$A$2:$A$301,0))&amp;"",""))</f>
      </c>
      <c r="D71" s="31"/>
      <c r="E71" s="32"/>
      <c r="F71" s="38">
        <f>IF(OR(A71="",E71=""),"",IF(E71&lt;TODAY(),"Overdue",IF(E71&lt;=TODAY()+14,"Due in 14 days","OK")))</f>
      </c>
      <c r="G71" s="30"/>
      <c r="H71" s="38">
        <f>IF(A71="","",IF(COUNTIFS(Transactions!$E$2:$E$1001,A71,Transactions!$A$2:$A$1001,"Overdue")&gt;0,"Overdue",IF(COUNTIFS(Transactions!$E$2:$E$1001,A71,Transactions!$A$2:$A$1001,"Open")&gt;0,"Out","In")))</f>
      </c>
      <c r="I71" s="36"/>
    </row>
    <row r="72">
      <c r="A72" s="31"/>
      <c r="B72" s="31"/>
      <c r="C72" s="37">
        <f>IF(B72="","",IFERROR(INDEX('Item master'!$B$2:$B$301,MATCH(B72,'Item master'!$A$2:$A$301,0))&amp;"",""))</f>
      </c>
      <c r="D72" s="31"/>
      <c r="E72" s="32"/>
      <c r="F72" s="38">
        <f>IF(OR(A72="",E72=""),"",IF(E72&lt;TODAY(),"Overdue",IF(E72&lt;=TODAY()+14,"Due in 14 days","OK")))</f>
      </c>
      <c r="G72" s="30"/>
      <c r="H72" s="38">
        <f>IF(A72="","",IF(COUNTIFS(Transactions!$E$2:$E$1001,A72,Transactions!$A$2:$A$1001,"Overdue")&gt;0,"Overdue",IF(COUNTIFS(Transactions!$E$2:$E$1001,A72,Transactions!$A$2:$A$1001,"Open")&gt;0,"Out","In")))</f>
      </c>
      <c r="I72" s="36"/>
    </row>
    <row r="73">
      <c r="A73" s="31"/>
      <c r="B73" s="31"/>
      <c r="C73" s="37">
        <f>IF(B73="","",IFERROR(INDEX('Item master'!$B$2:$B$301,MATCH(B73,'Item master'!$A$2:$A$301,0))&amp;"",""))</f>
      </c>
      <c r="D73" s="31"/>
      <c r="E73" s="32"/>
      <c r="F73" s="38">
        <f>IF(OR(A73="",E73=""),"",IF(E73&lt;TODAY(),"Overdue",IF(E73&lt;=TODAY()+14,"Due in 14 days","OK")))</f>
      </c>
      <c r="G73" s="30"/>
      <c r="H73" s="38">
        <f>IF(A73="","",IF(COUNTIFS(Transactions!$E$2:$E$1001,A73,Transactions!$A$2:$A$1001,"Overdue")&gt;0,"Overdue",IF(COUNTIFS(Transactions!$E$2:$E$1001,A73,Transactions!$A$2:$A$1001,"Open")&gt;0,"Out","In")))</f>
      </c>
      <c r="I73" s="36"/>
    </row>
    <row r="74">
      <c r="A74" s="31"/>
      <c r="B74" s="31"/>
      <c r="C74" s="37">
        <f>IF(B74="","",IFERROR(INDEX('Item master'!$B$2:$B$301,MATCH(B74,'Item master'!$A$2:$A$301,0))&amp;"",""))</f>
      </c>
      <c r="D74" s="31"/>
      <c r="E74" s="32"/>
      <c r="F74" s="38">
        <f>IF(OR(A74="",E74=""),"",IF(E74&lt;TODAY(),"Overdue",IF(E74&lt;=TODAY()+14,"Due in 14 days","OK")))</f>
      </c>
      <c r="G74" s="30"/>
      <c r="H74" s="38">
        <f>IF(A74="","",IF(COUNTIFS(Transactions!$E$2:$E$1001,A74,Transactions!$A$2:$A$1001,"Overdue")&gt;0,"Overdue",IF(COUNTIFS(Transactions!$E$2:$E$1001,A74,Transactions!$A$2:$A$1001,"Open")&gt;0,"Out","In")))</f>
      </c>
      <c r="I74" s="36"/>
    </row>
    <row r="75">
      <c r="A75" s="31"/>
      <c r="B75" s="31"/>
      <c r="C75" s="37">
        <f>IF(B75="","",IFERROR(INDEX('Item master'!$B$2:$B$301,MATCH(B75,'Item master'!$A$2:$A$301,0))&amp;"",""))</f>
      </c>
      <c r="D75" s="31"/>
      <c r="E75" s="32"/>
      <c r="F75" s="38">
        <f>IF(OR(A75="",E75=""),"",IF(E75&lt;TODAY(),"Overdue",IF(E75&lt;=TODAY()+14,"Due in 14 days","OK")))</f>
      </c>
      <c r="G75" s="30"/>
      <c r="H75" s="38">
        <f>IF(A75="","",IF(COUNTIFS(Transactions!$E$2:$E$1001,A75,Transactions!$A$2:$A$1001,"Overdue")&gt;0,"Overdue",IF(COUNTIFS(Transactions!$E$2:$E$1001,A75,Transactions!$A$2:$A$1001,"Open")&gt;0,"Out","In")))</f>
      </c>
      <c r="I75" s="36"/>
    </row>
    <row r="76">
      <c r="A76" s="31"/>
      <c r="B76" s="31"/>
      <c r="C76" s="37">
        <f>IF(B76="","",IFERROR(INDEX('Item master'!$B$2:$B$301,MATCH(B76,'Item master'!$A$2:$A$301,0))&amp;"",""))</f>
      </c>
      <c r="D76" s="31"/>
      <c r="E76" s="32"/>
      <c r="F76" s="38">
        <f>IF(OR(A76="",E76=""),"",IF(E76&lt;TODAY(),"Overdue",IF(E76&lt;=TODAY()+14,"Due in 14 days","OK")))</f>
      </c>
      <c r="G76" s="30"/>
      <c r="H76" s="38">
        <f>IF(A76="","",IF(COUNTIFS(Transactions!$E$2:$E$1001,A76,Transactions!$A$2:$A$1001,"Overdue")&gt;0,"Overdue",IF(COUNTIFS(Transactions!$E$2:$E$1001,A76,Transactions!$A$2:$A$1001,"Open")&gt;0,"Out","In")))</f>
      </c>
      <c r="I76" s="36"/>
    </row>
    <row r="77">
      <c r="A77" s="31"/>
      <c r="B77" s="31"/>
      <c r="C77" s="37">
        <f>IF(B77="","",IFERROR(INDEX('Item master'!$B$2:$B$301,MATCH(B77,'Item master'!$A$2:$A$301,0))&amp;"",""))</f>
      </c>
      <c r="D77" s="31"/>
      <c r="E77" s="32"/>
      <c r="F77" s="38">
        <f>IF(OR(A77="",E77=""),"",IF(E77&lt;TODAY(),"Overdue",IF(E77&lt;=TODAY()+14,"Due in 14 days","OK")))</f>
      </c>
      <c r="G77" s="30"/>
      <c r="H77" s="38">
        <f>IF(A77="","",IF(COUNTIFS(Transactions!$E$2:$E$1001,A77,Transactions!$A$2:$A$1001,"Overdue")&gt;0,"Overdue",IF(COUNTIFS(Transactions!$E$2:$E$1001,A77,Transactions!$A$2:$A$1001,"Open")&gt;0,"Out","In")))</f>
      </c>
      <c r="I77" s="36"/>
    </row>
    <row r="78">
      <c r="A78" s="31"/>
      <c r="B78" s="31"/>
      <c r="C78" s="37">
        <f>IF(B78="","",IFERROR(INDEX('Item master'!$B$2:$B$301,MATCH(B78,'Item master'!$A$2:$A$301,0))&amp;"",""))</f>
      </c>
      <c r="D78" s="31"/>
      <c r="E78" s="32"/>
      <c r="F78" s="38">
        <f>IF(OR(A78="",E78=""),"",IF(E78&lt;TODAY(),"Overdue",IF(E78&lt;=TODAY()+14,"Due in 14 days","OK")))</f>
      </c>
      <c r="G78" s="30"/>
      <c r="H78" s="38">
        <f>IF(A78="","",IF(COUNTIFS(Transactions!$E$2:$E$1001,A78,Transactions!$A$2:$A$1001,"Overdue")&gt;0,"Overdue",IF(COUNTIFS(Transactions!$E$2:$E$1001,A78,Transactions!$A$2:$A$1001,"Open")&gt;0,"Out","In")))</f>
      </c>
      <c r="I78" s="36"/>
    </row>
    <row r="79">
      <c r="A79" s="31"/>
      <c r="B79" s="31"/>
      <c r="C79" s="37">
        <f>IF(B79="","",IFERROR(INDEX('Item master'!$B$2:$B$301,MATCH(B79,'Item master'!$A$2:$A$301,0))&amp;"",""))</f>
      </c>
      <c r="D79" s="31"/>
      <c r="E79" s="32"/>
      <c r="F79" s="38">
        <f>IF(OR(A79="",E79=""),"",IF(E79&lt;TODAY(),"Overdue",IF(E79&lt;=TODAY()+14,"Due in 14 days","OK")))</f>
      </c>
      <c r="G79" s="30"/>
      <c r="H79" s="38">
        <f>IF(A79="","",IF(COUNTIFS(Transactions!$E$2:$E$1001,A79,Transactions!$A$2:$A$1001,"Overdue")&gt;0,"Overdue",IF(COUNTIFS(Transactions!$E$2:$E$1001,A79,Transactions!$A$2:$A$1001,"Open")&gt;0,"Out","In")))</f>
      </c>
      <c r="I79" s="36"/>
    </row>
    <row r="80">
      <c r="A80" s="31"/>
      <c r="B80" s="31"/>
      <c r="C80" s="37">
        <f>IF(B80="","",IFERROR(INDEX('Item master'!$B$2:$B$301,MATCH(B80,'Item master'!$A$2:$A$301,0))&amp;"",""))</f>
      </c>
      <c r="D80" s="31"/>
      <c r="E80" s="32"/>
      <c r="F80" s="38">
        <f>IF(OR(A80="",E80=""),"",IF(E80&lt;TODAY(),"Overdue",IF(E80&lt;=TODAY()+14,"Due in 14 days","OK")))</f>
      </c>
      <c r="G80" s="30"/>
      <c r="H80" s="38">
        <f>IF(A80="","",IF(COUNTIFS(Transactions!$E$2:$E$1001,A80,Transactions!$A$2:$A$1001,"Overdue")&gt;0,"Overdue",IF(COUNTIFS(Transactions!$E$2:$E$1001,A80,Transactions!$A$2:$A$1001,"Open")&gt;0,"Out","In")))</f>
      </c>
      <c r="I80" s="36"/>
    </row>
    <row r="81">
      <c r="A81" s="31"/>
      <c r="B81" s="31"/>
      <c r="C81" s="37">
        <f>IF(B81="","",IFERROR(INDEX('Item master'!$B$2:$B$301,MATCH(B81,'Item master'!$A$2:$A$301,0))&amp;"",""))</f>
      </c>
      <c r="D81" s="31"/>
      <c r="E81" s="32"/>
      <c r="F81" s="38">
        <f>IF(OR(A81="",E81=""),"",IF(E81&lt;TODAY(),"Overdue",IF(E81&lt;=TODAY()+14,"Due in 14 days","OK")))</f>
      </c>
      <c r="G81" s="30"/>
      <c r="H81" s="38">
        <f>IF(A81="","",IF(COUNTIFS(Transactions!$E$2:$E$1001,A81,Transactions!$A$2:$A$1001,"Overdue")&gt;0,"Overdue",IF(COUNTIFS(Transactions!$E$2:$E$1001,A81,Transactions!$A$2:$A$1001,"Open")&gt;0,"Out","In")))</f>
      </c>
      <c r="I81" s="36"/>
    </row>
    <row r="82">
      <c r="A82" s="31"/>
      <c r="B82" s="31"/>
      <c r="C82" s="37">
        <f>IF(B82="","",IFERROR(INDEX('Item master'!$B$2:$B$301,MATCH(B82,'Item master'!$A$2:$A$301,0))&amp;"",""))</f>
      </c>
      <c r="D82" s="31"/>
      <c r="E82" s="32"/>
      <c r="F82" s="38">
        <f>IF(OR(A82="",E82=""),"",IF(E82&lt;TODAY(),"Overdue",IF(E82&lt;=TODAY()+14,"Due in 14 days","OK")))</f>
      </c>
      <c r="G82" s="30"/>
      <c r="H82" s="38">
        <f>IF(A82="","",IF(COUNTIFS(Transactions!$E$2:$E$1001,A82,Transactions!$A$2:$A$1001,"Overdue")&gt;0,"Overdue",IF(COUNTIFS(Transactions!$E$2:$E$1001,A82,Transactions!$A$2:$A$1001,"Open")&gt;0,"Out","In")))</f>
      </c>
      <c r="I82" s="36"/>
    </row>
    <row r="83">
      <c r="A83" s="31"/>
      <c r="B83" s="31"/>
      <c r="C83" s="37">
        <f>IF(B83="","",IFERROR(INDEX('Item master'!$B$2:$B$301,MATCH(B83,'Item master'!$A$2:$A$301,0))&amp;"",""))</f>
      </c>
      <c r="D83" s="31"/>
      <c r="E83" s="32"/>
      <c r="F83" s="38">
        <f>IF(OR(A83="",E83=""),"",IF(E83&lt;TODAY(),"Overdue",IF(E83&lt;=TODAY()+14,"Due in 14 days","OK")))</f>
      </c>
      <c r="G83" s="30"/>
      <c r="H83" s="38">
        <f>IF(A83="","",IF(COUNTIFS(Transactions!$E$2:$E$1001,A83,Transactions!$A$2:$A$1001,"Overdue")&gt;0,"Overdue",IF(COUNTIFS(Transactions!$E$2:$E$1001,A83,Transactions!$A$2:$A$1001,"Open")&gt;0,"Out","In")))</f>
      </c>
      <c r="I83" s="36"/>
    </row>
    <row r="84">
      <c r="A84" s="31"/>
      <c r="B84" s="31"/>
      <c r="C84" s="37">
        <f>IF(B84="","",IFERROR(INDEX('Item master'!$B$2:$B$301,MATCH(B84,'Item master'!$A$2:$A$301,0))&amp;"",""))</f>
      </c>
      <c r="D84" s="31"/>
      <c r="E84" s="32"/>
      <c r="F84" s="38">
        <f>IF(OR(A84="",E84=""),"",IF(E84&lt;TODAY(),"Overdue",IF(E84&lt;=TODAY()+14,"Due in 14 days","OK")))</f>
      </c>
      <c r="G84" s="30"/>
      <c r="H84" s="38">
        <f>IF(A84="","",IF(COUNTIFS(Transactions!$E$2:$E$1001,A84,Transactions!$A$2:$A$1001,"Overdue")&gt;0,"Overdue",IF(COUNTIFS(Transactions!$E$2:$E$1001,A84,Transactions!$A$2:$A$1001,"Open")&gt;0,"Out","In")))</f>
      </c>
      <c r="I84" s="36"/>
    </row>
    <row r="85">
      <c r="A85" s="31"/>
      <c r="B85" s="31"/>
      <c r="C85" s="37">
        <f>IF(B85="","",IFERROR(INDEX('Item master'!$B$2:$B$301,MATCH(B85,'Item master'!$A$2:$A$301,0))&amp;"",""))</f>
      </c>
      <c r="D85" s="31"/>
      <c r="E85" s="32"/>
      <c r="F85" s="38">
        <f>IF(OR(A85="",E85=""),"",IF(E85&lt;TODAY(),"Overdue",IF(E85&lt;=TODAY()+14,"Due in 14 days","OK")))</f>
      </c>
      <c r="G85" s="30"/>
      <c r="H85" s="38">
        <f>IF(A85="","",IF(COUNTIFS(Transactions!$E$2:$E$1001,A85,Transactions!$A$2:$A$1001,"Overdue")&gt;0,"Overdue",IF(COUNTIFS(Transactions!$E$2:$E$1001,A85,Transactions!$A$2:$A$1001,"Open")&gt;0,"Out","In")))</f>
      </c>
      <c r="I85" s="36"/>
    </row>
    <row r="86">
      <c r="A86" s="31"/>
      <c r="B86" s="31"/>
      <c r="C86" s="37">
        <f>IF(B86="","",IFERROR(INDEX('Item master'!$B$2:$B$301,MATCH(B86,'Item master'!$A$2:$A$301,0))&amp;"",""))</f>
      </c>
      <c r="D86" s="31"/>
      <c r="E86" s="32"/>
      <c r="F86" s="38">
        <f>IF(OR(A86="",E86=""),"",IF(E86&lt;TODAY(),"Overdue",IF(E86&lt;=TODAY()+14,"Due in 14 days","OK")))</f>
      </c>
      <c r="G86" s="30"/>
      <c r="H86" s="38">
        <f>IF(A86="","",IF(COUNTIFS(Transactions!$E$2:$E$1001,A86,Transactions!$A$2:$A$1001,"Overdue")&gt;0,"Overdue",IF(COUNTIFS(Transactions!$E$2:$E$1001,A86,Transactions!$A$2:$A$1001,"Open")&gt;0,"Out","In")))</f>
      </c>
      <c r="I86" s="36"/>
    </row>
    <row r="87">
      <c r="A87" s="31"/>
      <c r="B87" s="31"/>
      <c r="C87" s="37">
        <f>IF(B87="","",IFERROR(INDEX('Item master'!$B$2:$B$301,MATCH(B87,'Item master'!$A$2:$A$301,0))&amp;"",""))</f>
      </c>
      <c r="D87" s="31"/>
      <c r="E87" s="32"/>
      <c r="F87" s="38">
        <f>IF(OR(A87="",E87=""),"",IF(E87&lt;TODAY(),"Overdue",IF(E87&lt;=TODAY()+14,"Due in 14 days","OK")))</f>
      </c>
      <c r="G87" s="30"/>
      <c r="H87" s="38">
        <f>IF(A87="","",IF(COUNTIFS(Transactions!$E$2:$E$1001,A87,Transactions!$A$2:$A$1001,"Overdue")&gt;0,"Overdue",IF(COUNTIFS(Transactions!$E$2:$E$1001,A87,Transactions!$A$2:$A$1001,"Open")&gt;0,"Out","In")))</f>
      </c>
      <c r="I87" s="36"/>
    </row>
    <row r="88">
      <c r="A88" s="31"/>
      <c r="B88" s="31"/>
      <c r="C88" s="37">
        <f>IF(B88="","",IFERROR(INDEX('Item master'!$B$2:$B$301,MATCH(B88,'Item master'!$A$2:$A$301,0))&amp;"",""))</f>
      </c>
      <c r="D88" s="31"/>
      <c r="E88" s="32"/>
      <c r="F88" s="38">
        <f>IF(OR(A88="",E88=""),"",IF(E88&lt;TODAY(),"Overdue",IF(E88&lt;=TODAY()+14,"Due in 14 days","OK")))</f>
      </c>
      <c r="G88" s="30"/>
      <c r="H88" s="38">
        <f>IF(A88="","",IF(COUNTIFS(Transactions!$E$2:$E$1001,A88,Transactions!$A$2:$A$1001,"Overdue")&gt;0,"Overdue",IF(COUNTIFS(Transactions!$E$2:$E$1001,A88,Transactions!$A$2:$A$1001,"Open")&gt;0,"Out","In")))</f>
      </c>
      <c r="I88" s="36"/>
    </row>
    <row r="89">
      <c r="A89" s="31"/>
      <c r="B89" s="31"/>
      <c r="C89" s="37">
        <f>IF(B89="","",IFERROR(INDEX('Item master'!$B$2:$B$301,MATCH(B89,'Item master'!$A$2:$A$301,0))&amp;"",""))</f>
      </c>
      <c r="D89" s="31"/>
      <c r="E89" s="32"/>
      <c r="F89" s="38">
        <f>IF(OR(A89="",E89=""),"",IF(E89&lt;TODAY(),"Overdue",IF(E89&lt;=TODAY()+14,"Due in 14 days","OK")))</f>
      </c>
      <c r="G89" s="30"/>
      <c r="H89" s="38">
        <f>IF(A89="","",IF(COUNTIFS(Transactions!$E$2:$E$1001,A89,Transactions!$A$2:$A$1001,"Overdue")&gt;0,"Overdue",IF(COUNTIFS(Transactions!$E$2:$E$1001,A89,Transactions!$A$2:$A$1001,"Open")&gt;0,"Out","In")))</f>
      </c>
      <c r="I89" s="36"/>
    </row>
    <row r="90">
      <c r="A90" s="31"/>
      <c r="B90" s="31"/>
      <c r="C90" s="37">
        <f>IF(B90="","",IFERROR(INDEX('Item master'!$B$2:$B$301,MATCH(B90,'Item master'!$A$2:$A$301,0))&amp;"",""))</f>
      </c>
      <c r="D90" s="31"/>
      <c r="E90" s="32"/>
      <c r="F90" s="38">
        <f>IF(OR(A90="",E90=""),"",IF(E90&lt;TODAY(),"Overdue",IF(E90&lt;=TODAY()+14,"Due in 14 days","OK")))</f>
      </c>
      <c r="G90" s="30"/>
      <c r="H90" s="38">
        <f>IF(A90="","",IF(COUNTIFS(Transactions!$E$2:$E$1001,A90,Transactions!$A$2:$A$1001,"Overdue")&gt;0,"Overdue",IF(COUNTIFS(Transactions!$E$2:$E$1001,A90,Transactions!$A$2:$A$1001,"Open")&gt;0,"Out","In")))</f>
      </c>
      <c r="I90" s="36"/>
    </row>
    <row r="91">
      <c r="A91" s="31"/>
      <c r="B91" s="31"/>
      <c r="C91" s="37">
        <f>IF(B91="","",IFERROR(INDEX('Item master'!$B$2:$B$301,MATCH(B91,'Item master'!$A$2:$A$301,0))&amp;"",""))</f>
      </c>
      <c r="D91" s="31"/>
      <c r="E91" s="32"/>
      <c r="F91" s="38">
        <f>IF(OR(A91="",E91=""),"",IF(E91&lt;TODAY(),"Overdue",IF(E91&lt;=TODAY()+14,"Due in 14 days","OK")))</f>
      </c>
      <c r="G91" s="30"/>
      <c r="H91" s="38">
        <f>IF(A91="","",IF(COUNTIFS(Transactions!$E$2:$E$1001,A91,Transactions!$A$2:$A$1001,"Overdue")&gt;0,"Overdue",IF(COUNTIFS(Transactions!$E$2:$E$1001,A91,Transactions!$A$2:$A$1001,"Open")&gt;0,"Out","In")))</f>
      </c>
      <c r="I91" s="36"/>
    </row>
    <row r="92">
      <c r="A92" s="31"/>
      <c r="B92" s="31"/>
      <c r="C92" s="37">
        <f>IF(B92="","",IFERROR(INDEX('Item master'!$B$2:$B$301,MATCH(B92,'Item master'!$A$2:$A$301,0))&amp;"",""))</f>
      </c>
      <c r="D92" s="31"/>
      <c r="E92" s="32"/>
      <c r="F92" s="38">
        <f>IF(OR(A92="",E92=""),"",IF(E92&lt;TODAY(),"Overdue",IF(E92&lt;=TODAY()+14,"Due in 14 days","OK")))</f>
      </c>
      <c r="G92" s="30"/>
      <c r="H92" s="38">
        <f>IF(A92="","",IF(COUNTIFS(Transactions!$E$2:$E$1001,A92,Transactions!$A$2:$A$1001,"Overdue")&gt;0,"Overdue",IF(COUNTIFS(Transactions!$E$2:$E$1001,A92,Transactions!$A$2:$A$1001,"Open")&gt;0,"Out","In")))</f>
      </c>
      <c r="I92" s="36"/>
    </row>
    <row r="93">
      <c r="A93" s="31"/>
      <c r="B93" s="31"/>
      <c r="C93" s="37">
        <f>IF(B93="","",IFERROR(INDEX('Item master'!$B$2:$B$301,MATCH(B93,'Item master'!$A$2:$A$301,0))&amp;"",""))</f>
      </c>
      <c r="D93" s="31"/>
      <c r="E93" s="32"/>
      <c r="F93" s="38">
        <f>IF(OR(A93="",E93=""),"",IF(E93&lt;TODAY(),"Overdue",IF(E93&lt;=TODAY()+14,"Due in 14 days","OK")))</f>
      </c>
      <c r="G93" s="30"/>
      <c r="H93" s="38">
        <f>IF(A93="","",IF(COUNTIFS(Transactions!$E$2:$E$1001,A93,Transactions!$A$2:$A$1001,"Overdue")&gt;0,"Overdue",IF(COUNTIFS(Transactions!$E$2:$E$1001,A93,Transactions!$A$2:$A$1001,"Open")&gt;0,"Out","In")))</f>
      </c>
      <c r="I93" s="36"/>
    </row>
    <row r="94">
      <c r="A94" s="31"/>
      <c r="B94" s="31"/>
      <c r="C94" s="37">
        <f>IF(B94="","",IFERROR(INDEX('Item master'!$B$2:$B$301,MATCH(B94,'Item master'!$A$2:$A$301,0))&amp;"",""))</f>
      </c>
      <c r="D94" s="31"/>
      <c r="E94" s="32"/>
      <c r="F94" s="38">
        <f>IF(OR(A94="",E94=""),"",IF(E94&lt;TODAY(),"Overdue",IF(E94&lt;=TODAY()+14,"Due in 14 days","OK")))</f>
      </c>
      <c r="G94" s="30"/>
      <c r="H94" s="38">
        <f>IF(A94="","",IF(COUNTIFS(Transactions!$E$2:$E$1001,A94,Transactions!$A$2:$A$1001,"Overdue")&gt;0,"Overdue",IF(COUNTIFS(Transactions!$E$2:$E$1001,A94,Transactions!$A$2:$A$1001,"Open")&gt;0,"Out","In")))</f>
      </c>
      <c r="I94" s="36"/>
    </row>
    <row r="95">
      <c r="A95" s="31"/>
      <c r="B95" s="31"/>
      <c r="C95" s="37">
        <f>IF(B95="","",IFERROR(INDEX('Item master'!$B$2:$B$301,MATCH(B95,'Item master'!$A$2:$A$301,0))&amp;"",""))</f>
      </c>
      <c r="D95" s="31"/>
      <c r="E95" s="32"/>
      <c r="F95" s="38">
        <f>IF(OR(A95="",E95=""),"",IF(E95&lt;TODAY(),"Overdue",IF(E95&lt;=TODAY()+14,"Due in 14 days","OK")))</f>
      </c>
      <c r="G95" s="30"/>
      <c r="H95" s="38">
        <f>IF(A95="","",IF(COUNTIFS(Transactions!$E$2:$E$1001,A95,Transactions!$A$2:$A$1001,"Overdue")&gt;0,"Overdue",IF(COUNTIFS(Transactions!$E$2:$E$1001,A95,Transactions!$A$2:$A$1001,"Open")&gt;0,"Out","In")))</f>
      </c>
      <c r="I95" s="36"/>
    </row>
    <row r="96">
      <c r="A96" s="31"/>
      <c r="B96" s="31"/>
      <c r="C96" s="37">
        <f>IF(B96="","",IFERROR(INDEX('Item master'!$B$2:$B$301,MATCH(B96,'Item master'!$A$2:$A$301,0))&amp;"",""))</f>
      </c>
      <c r="D96" s="31"/>
      <c r="E96" s="32"/>
      <c r="F96" s="38">
        <f>IF(OR(A96="",E96=""),"",IF(E96&lt;TODAY(),"Overdue",IF(E96&lt;=TODAY()+14,"Due in 14 days","OK")))</f>
      </c>
      <c r="G96" s="30"/>
      <c r="H96" s="38">
        <f>IF(A96="","",IF(COUNTIFS(Transactions!$E$2:$E$1001,A96,Transactions!$A$2:$A$1001,"Overdue")&gt;0,"Overdue",IF(COUNTIFS(Transactions!$E$2:$E$1001,A96,Transactions!$A$2:$A$1001,"Open")&gt;0,"Out","In")))</f>
      </c>
      <c r="I96" s="36"/>
    </row>
    <row r="97">
      <c r="A97" s="31"/>
      <c r="B97" s="31"/>
      <c r="C97" s="37">
        <f>IF(B97="","",IFERROR(INDEX('Item master'!$B$2:$B$301,MATCH(B97,'Item master'!$A$2:$A$301,0))&amp;"",""))</f>
      </c>
      <c r="D97" s="31"/>
      <c r="E97" s="32"/>
      <c r="F97" s="38">
        <f>IF(OR(A97="",E97=""),"",IF(E97&lt;TODAY(),"Overdue",IF(E97&lt;=TODAY()+14,"Due in 14 days","OK")))</f>
      </c>
      <c r="G97" s="30"/>
      <c r="H97" s="38">
        <f>IF(A97="","",IF(COUNTIFS(Transactions!$E$2:$E$1001,A97,Transactions!$A$2:$A$1001,"Overdue")&gt;0,"Overdue",IF(COUNTIFS(Transactions!$E$2:$E$1001,A97,Transactions!$A$2:$A$1001,"Open")&gt;0,"Out","In")))</f>
      </c>
      <c r="I97" s="36"/>
    </row>
    <row r="98">
      <c r="A98" s="31"/>
      <c r="B98" s="31"/>
      <c r="C98" s="37">
        <f>IF(B98="","",IFERROR(INDEX('Item master'!$B$2:$B$301,MATCH(B98,'Item master'!$A$2:$A$301,0))&amp;"",""))</f>
      </c>
      <c r="D98" s="31"/>
      <c r="E98" s="32"/>
      <c r="F98" s="38">
        <f>IF(OR(A98="",E98=""),"",IF(E98&lt;TODAY(),"Overdue",IF(E98&lt;=TODAY()+14,"Due in 14 days","OK")))</f>
      </c>
      <c r="G98" s="30"/>
      <c r="H98" s="38">
        <f>IF(A98="","",IF(COUNTIFS(Transactions!$E$2:$E$1001,A98,Transactions!$A$2:$A$1001,"Overdue")&gt;0,"Overdue",IF(COUNTIFS(Transactions!$E$2:$E$1001,A98,Transactions!$A$2:$A$1001,"Open")&gt;0,"Out","In")))</f>
      </c>
      <c r="I98" s="36"/>
    </row>
    <row r="99">
      <c r="A99" s="31"/>
      <c r="B99" s="31"/>
      <c r="C99" s="37">
        <f>IF(B99="","",IFERROR(INDEX('Item master'!$B$2:$B$301,MATCH(B99,'Item master'!$A$2:$A$301,0))&amp;"",""))</f>
      </c>
      <c r="D99" s="31"/>
      <c r="E99" s="32"/>
      <c r="F99" s="38">
        <f>IF(OR(A99="",E99=""),"",IF(E99&lt;TODAY(),"Overdue",IF(E99&lt;=TODAY()+14,"Due in 14 days","OK")))</f>
      </c>
      <c r="G99" s="30"/>
      <c r="H99" s="38">
        <f>IF(A99="","",IF(COUNTIFS(Transactions!$E$2:$E$1001,A99,Transactions!$A$2:$A$1001,"Overdue")&gt;0,"Overdue",IF(COUNTIFS(Transactions!$E$2:$E$1001,A99,Transactions!$A$2:$A$1001,"Open")&gt;0,"Out","In")))</f>
      </c>
      <c r="I99" s="36"/>
    </row>
    <row r="100">
      <c r="A100" s="31"/>
      <c r="B100" s="31"/>
      <c r="C100" s="37">
        <f>IF(B100="","",IFERROR(INDEX('Item master'!$B$2:$B$301,MATCH(B100,'Item master'!$A$2:$A$301,0))&amp;"",""))</f>
      </c>
      <c r="D100" s="31"/>
      <c r="E100" s="32"/>
      <c r="F100" s="38">
        <f>IF(OR(A100="",E100=""),"",IF(E100&lt;TODAY(),"Overdue",IF(E100&lt;=TODAY()+14,"Due in 14 days","OK")))</f>
      </c>
      <c r="G100" s="30"/>
      <c r="H100" s="38">
        <f>IF(A100="","",IF(COUNTIFS(Transactions!$E$2:$E$1001,A100,Transactions!$A$2:$A$1001,"Overdue")&gt;0,"Overdue",IF(COUNTIFS(Transactions!$E$2:$E$1001,A100,Transactions!$A$2:$A$1001,"Open")&gt;0,"Out","In")))</f>
      </c>
      <c r="I100" s="36"/>
    </row>
    <row r="101">
      <c r="A101" s="31"/>
      <c r="B101" s="31"/>
      <c r="C101" s="37">
        <f>IF(B101="","",IFERROR(INDEX('Item master'!$B$2:$B$301,MATCH(B101,'Item master'!$A$2:$A$301,0))&amp;"",""))</f>
      </c>
      <c r="D101" s="31"/>
      <c r="E101" s="32"/>
      <c r="F101" s="38">
        <f>IF(OR(A101="",E101=""),"",IF(E101&lt;TODAY(),"Overdue",IF(E101&lt;=TODAY()+14,"Due in 14 days","OK")))</f>
      </c>
      <c r="G101" s="30"/>
      <c r="H101" s="38">
        <f>IF(A101="","",IF(COUNTIFS(Transactions!$E$2:$E$1001,A101,Transactions!$A$2:$A$1001,"Overdue")&gt;0,"Overdue",IF(COUNTIFS(Transactions!$E$2:$E$1001,A101,Transactions!$A$2:$A$1001,"Open")&gt;0,"Out","In")))</f>
      </c>
      <c r="I101" s="36"/>
    </row>
    <row r="102">
      <c r="A102" s="31"/>
      <c r="B102" s="31"/>
      <c r="C102" s="37">
        <f>IF(B102="","",IFERROR(INDEX('Item master'!$B$2:$B$301,MATCH(B102,'Item master'!$A$2:$A$301,0))&amp;"",""))</f>
      </c>
      <c r="D102" s="31"/>
      <c r="E102" s="32"/>
      <c r="F102" s="38">
        <f>IF(OR(A102="",E102=""),"",IF(E102&lt;TODAY(),"Overdue",IF(E102&lt;=TODAY()+14,"Due in 14 days","OK")))</f>
      </c>
      <c r="G102" s="30"/>
      <c r="H102" s="38">
        <f>IF(A102="","",IF(COUNTIFS(Transactions!$E$2:$E$1001,A102,Transactions!$A$2:$A$1001,"Overdue")&gt;0,"Overdue",IF(COUNTIFS(Transactions!$E$2:$E$1001,A102,Transactions!$A$2:$A$1001,"Open")&gt;0,"Out","In")))</f>
      </c>
      <c r="I102" s="36"/>
    </row>
    <row r="103">
      <c r="A103" s="31"/>
      <c r="B103" s="31"/>
      <c r="C103" s="37">
        <f>IF(B103="","",IFERROR(INDEX('Item master'!$B$2:$B$301,MATCH(B103,'Item master'!$A$2:$A$301,0))&amp;"",""))</f>
      </c>
      <c r="D103" s="31"/>
      <c r="E103" s="32"/>
      <c r="F103" s="38">
        <f>IF(OR(A103="",E103=""),"",IF(E103&lt;TODAY(),"Overdue",IF(E103&lt;=TODAY()+14,"Due in 14 days","OK")))</f>
      </c>
      <c r="G103" s="30"/>
      <c r="H103" s="38">
        <f>IF(A103="","",IF(COUNTIFS(Transactions!$E$2:$E$1001,A103,Transactions!$A$2:$A$1001,"Overdue")&gt;0,"Overdue",IF(COUNTIFS(Transactions!$E$2:$E$1001,A103,Transactions!$A$2:$A$1001,"Open")&gt;0,"Out","In")))</f>
      </c>
      <c r="I103" s="36"/>
    </row>
    <row r="104">
      <c r="A104" s="31"/>
      <c r="B104" s="31"/>
      <c r="C104" s="37">
        <f>IF(B104="","",IFERROR(INDEX('Item master'!$B$2:$B$301,MATCH(B104,'Item master'!$A$2:$A$301,0))&amp;"",""))</f>
      </c>
      <c r="D104" s="31"/>
      <c r="E104" s="32"/>
      <c r="F104" s="38">
        <f>IF(OR(A104="",E104=""),"",IF(E104&lt;TODAY(),"Overdue",IF(E104&lt;=TODAY()+14,"Due in 14 days","OK")))</f>
      </c>
      <c r="G104" s="30"/>
      <c r="H104" s="38">
        <f>IF(A104="","",IF(COUNTIFS(Transactions!$E$2:$E$1001,A104,Transactions!$A$2:$A$1001,"Overdue")&gt;0,"Overdue",IF(COUNTIFS(Transactions!$E$2:$E$1001,A104,Transactions!$A$2:$A$1001,"Open")&gt;0,"Out","In")))</f>
      </c>
      <c r="I104" s="36"/>
    </row>
    <row r="105">
      <c r="A105" s="31"/>
      <c r="B105" s="31"/>
      <c r="C105" s="37">
        <f>IF(B105="","",IFERROR(INDEX('Item master'!$B$2:$B$301,MATCH(B105,'Item master'!$A$2:$A$301,0))&amp;"",""))</f>
      </c>
      <c r="D105" s="31"/>
      <c r="E105" s="32"/>
      <c r="F105" s="38">
        <f>IF(OR(A105="",E105=""),"",IF(E105&lt;TODAY(),"Overdue",IF(E105&lt;=TODAY()+14,"Due in 14 days","OK")))</f>
      </c>
      <c r="G105" s="30"/>
      <c r="H105" s="38">
        <f>IF(A105="","",IF(COUNTIFS(Transactions!$E$2:$E$1001,A105,Transactions!$A$2:$A$1001,"Overdue")&gt;0,"Overdue",IF(COUNTIFS(Transactions!$E$2:$E$1001,A105,Transactions!$A$2:$A$1001,"Open")&gt;0,"Out","In")))</f>
      </c>
      <c r="I105" s="36"/>
    </row>
    <row r="106">
      <c r="A106" s="31"/>
      <c r="B106" s="31"/>
      <c r="C106" s="37">
        <f>IF(B106="","",IFERROR(INDEX('Item master'!$B$2:$B$301,MATCH(B106,'Item master'!$A$2:$A$301,0))&amp;"",""))</f>
      </c>
      <c r="D106" s="31"/>
      <c r="E106" s="32"/>
      <c r="F106" s="38">
        <f>IF(OR(A106="",E106=""),"",IF(E106&lt;TODAY(),"Overdue",IF(E106&lt;=TODAY()+14,"Due in 14 days","OK")))</f>
      </c>
      <c r="G106" s="30"/>
      <c r="H106" s="38">
        <f>IF(A106="","",IF(COUNTIFS(Transactions!$E$2:$E$1001,A106,Transactions!$A$2:$A$1001,"Overdue")&gt;0,"Overdue",IF(COUNTIFS(Transactions!$E$2:$E$1001,A106,Transactions!$A$2:$A$1001,"Open")&gt;0,"Out","In")))</f>
      </c>
      <c r="I106" s="36"/>
    </row>
    <row r="107">
      <c r="A107" s="31"/>
      <c r="B107" s="31"/>
      <c r="C107" s="37">
        <f>IF(B107="","",IFERROR(INDEX('Item master'!$B$2:$B$301,MATCH(B107,'Item master'!$A$2:$A$301,0))&amp;"",""))</f>
      </c>
      <c r="D107" s="31"/>
      <c r="E107" s="32"/>
      <c r="F107" s="38">
        <f>IF(OR(A107="",E107=""),"",IF(E107&lt;TODAY(),"Overdue",IF(E107&lt;=TODAY()+14,"Due in 14 days","OK")))</f>
      </c>
      <c r="G107" s="30"/>
      <c r="H107" s="38">
        <f>IF(A107="","",IF(COUNTIFS(Transactions!$E$2:$E$1001,A107,Transactions!$A$2:$A$1001,"Overdue")&gt;0,"Overdue",IF(COUNTIFS(Transactions!$E$2:$E$1001,A107,Transactions!$A$2:$A$1001,"Open")&gt;0,"Out","In")))</f>
      </c>
      <c r="I107" s="36"/>
    </row>
    <row r="108">
      <c r="A108" s="31"/>
      <c r="B108" s="31"/>
      <c r="C108" s="37">
        <f>IF(B108="","",IFERROR(INDEX('Item master'!$B$2:$B$301,MATCH(B108,'Item master'!$A$2:$A$301,0))&amp;"",""))</f>
      </c>
      <c r="D108" s="31"/>
      <c r="E108" s="32"/>
      <c r="F108" s="38">
        <f>IF(OR(A108="",E108=""),"",IF(E108&lt;TODAY(),"Overdue",IF(E108&lt;=TODAY()+14,"Due in 14 days","OK")))</f>
      </c>
      <c r="G108" s="30"/>
      <c r="H108" s="38">
        <f>IF(A108="","",IF(COUNTIFS(Transactions!$E$2:$E$1001,A108,Transactions!$A$2:$A$1001,"Overdue")&gt;0,"Overdue",IF(COUNTIFS(Transactions!$E$2:$E$1001,A108,Transactions!$A$2:$A$1001,"Open")&gt;0,"Out","In")))</f>
      </c>
      <c r="I108" s="36"/>
    </row>
    <row r="109">
      <c r="A109" s="31"/>
      <c r="B109" s="31"/>
      <c r="C109" s="37">
        <f>IF(B109="","",IFERROR(INDEX('Item master'!$B$2:$B$301,MATCH(B109,'Item master'!$A$2:$A$301,0))&amp;"",""))</f>
      </c>
      <c r="D109" s="31"/>
      <c r="E109" s="32"/>
      <c r="F109" s="38">
        <f>IF(OR(A109="",E109=""),"",IF(E109&lt;TODAY(),"Overdue",IF(E109&lt;=TODAY()+14,"Due in 14 days","OK")))</f>
      </c>
      <c r="G109" s="30"/>
      <c r="H109" s="38">
        <f>IF(A109="","",IF(COUNTIFS(Transactions!$E$2:$E$1001,A109,Transactions!$A$2:$A$1001,"Overdue")&gt;0,"Overdue",IF(COUNTIFS(Transactions!$E$2:$E$1001,A109,Transactions!$A$2:$A$1001,"Open")&gt;0,"Out","In")))</f>
      </c>
      <c r="I109" s="36"/>
    </row>
    <row r="110">
      <c r="A110" s="31"/>
      <c r="B110" s="31"/>
      <c r="C110" s="37">
        <f>IF(B110="","",IFERROR(INDEX('Item master'!$B$2:$B$301,MATCH(B110,'Item master'!$A$2:$A$301,0))&amp;"",""))</f>
      </c>
      <c r="D110" s="31"/>
      <c r="E110" s="32"/>
      <c r="F110" s="38">
        <f>IF(OR(A110="",E110=""),"",IF(E110&lt;TODAY(),"Overdue",IF(E110&lt;=TODAY()+14,"Due in 14 days","OK")))</f>
      </c>
      <c r="G110" s="30"/>
      <c r="H110" s="38">
        <f>IF(A110="","",IF(COUNTIFS(Transactions!$E$2:$E$1001,A110,Transactions!$A$2:$A$1001,"Overdue")&gt;0,"Overdue",IF(COUNTIFS(Transactions!$E$2:$E$1001,A110,Transactions!$A$2:$A$1001,"Open")&gt;0,"Out","In")))</f>
      </c>
      <c r="I110" s="36"/>
    </row>
    <row r="111">
      <c r="A111" s="31"/>
      <c r="B111" s="31"/>
      <c r="C111" s="37">
        <f>IF(B111="","",IFERROR(INDEX('Item master'!$B$2:$B$301,MATCH(B111,'Item master'!$A$2:$A$301,0))&amp;"",""))</f>
      </c>
      <c r="D111" s="31"/>
      <c r="E111" s="32"/>
      <c r="F111" s="38">
        <f>IF(OR(A111="",E111=""),"",IF(E111&lt;TODAY(),"Overdue",IF(E111&lt;=TODAY()+14,"Due in 14 days","OK")))</f>
      </c>
      <c r="G111" s="30"/>
      <c r="H111" s="38">
        <f>IF(A111="","",IF(COUNTIFS(Transactions!$E$2:$E$1001,A111,Transactions!$A$2:$A$1001,"Overdue")&gt;0,"Overdue",IF(COUNTIFS(Transactions!$E$2:$E$1001,A111,Transactions!$A$2:$A$1001,"Open")&gt;0,"Out","In")))</f>
      </c>
      <c r="I111" s="36"/>
    </row>
    <row r="112">
      <c r="A112" s="31"/>
      <c r="B112" s="31"/>
      <c r="C112" s="37">
        <f>IF(B112="","",IFERROR(INDEX('Item master'!$B$2:$B$301,MATCH(B112,'Item master'!$A$2:$A$301,0))&amp;"",""))</f>
      </c>
      <c r="D112" s="31"/>
      <c r="E112" s="32"/>
      <c r="F112" s="38">
        <f>IF(OR(A112="",E112=""),"",IF(E112&lt;TODAY(),"Overdue",IF(E112&lt;=TODAY()+14,"Due in 14 days","OK")))</f>
      </c>
      <c r="G112" s="30"/>
      <c r="H112" s="38">
        <f>IF(A112="","",IF(COUNTIFS(Transactions!$E$2:$E$1001,A112,Transactions!$A$2:$A$1001,"Overdue")&gt;0,"Overdue",IF(COUNTIFS(Transactions!$E$2:$E$1001,A112,Transactions!$A$2:$A$1001,"Open")&gt;0,"Out","In")))</f>
      </c>
      <c r="I112" s="36"/>
    </row>
    <row r="113">
      <c r="A113" s="31"/>
      <c r="B113" s="31"/>
      <c r="C113" s="37">
        <f>IF(B113="","",IFERROR(INDEX('Item master'!$B$2:$B$301,MATCH(B113,'Item master'!$A$2:$A$301,0))&amp;"",""))</f>
      </c>
      <c r="D113" s="31"/>
      <c r="E113" s="32"/>
      <c r="F113" s="38">
        <f>IF(OR(A113="",E113=""),"",IF(E113&lt;TODAY(),"Overdue",IF(E113&lt;=TODAY()+14,"Due in 14 days","OK")))</f>
      </c>
      <c r="G113" s="30"/>
      <c r="H113" s="38">
        <f>IF(A113="","",IF(COUNTIFS(Transactions!$E$2:$E$1001,A113,Transactions!$A$2:$A$1001,"Overdue")&gt;0,"Overdue",IF(COUNTIFS(Transactions!$E$2:$E$1001,A113,Transactions!$A$2:$A$1001,"Open")&gt;0,"Out","In")))</f>
      </c>
      <c r="I113" s="36"/>
    </row>
    <row r="114">
      <c r="A114" s="31"/>
      <c r="B114" s="31"/>
      <c r="C114" s="37">
        <f>IF(B114="","",IFERROR(INDEX('Item master'!$B$2:$B$301,MATCH(B114,'Item master'!$A$2:$A$301,0))&amp;"",""))</f>
      </c>
      <c r="D114" s="31"/>
      <c r="E114" s="32"/>
      <c r="F114" s="38">
        <f>IF(OR(A114="",E114=""),"",IF(E114&lt;TODAY(),"Overdue",IF(E114&lt;=TODAY()+14,"Due in 14 days","OK")))</f>
      </c>
      <c r="G114" s="30"/>
      <c r="H114" s="38">
        <f>IF(A114="","",IF(COUNTIFS(Transactions!$E$2:$E$1001,A114,Transactions!$A$2:$A$1001,"Overdue")&gt;0,"Overdue",IF(COUNTIFS(Transactions!$E$2:$E$1001,A114,Transactions!$A$2:$A$1001,"Open")&gt;0,"Out","In")))</f>
      </c>
      <c r="I114" s="36"/>
    </row>
    <row r="115">
      <c r="A115" s="31"/>
      <c r="B115" s="31"/>
      <c r="C115" s="37">
        <f>IF(B115="","",IFERROR(INDEX('Item master'!$B$2:$B$301,MATCH(B115,'Item master'!$A$2:$A$301,0))&amp;"",""))</f>
      </c>
      <c r="D115" s="31"/>
      <c r="E115" s="32"/>
      <c r="F115" s="38">
        <f>IF(OR(A115="",E115=""),"",IF(E115&lt;TODAY(),"Overdue",IF(E115&lt;=TODAY()+14,"Due in 14 days","OK")))</f>
      </c>
      <c r="G115" s="30"/>
      <c r="H115" s="38">
        <f>IF(A115="","",IF(COUNTIFS(Transactions!$E$2:$E$1001,A115,Transactions!$A$2:$A$1001,"Overdue")&gt;0,"Overdue",IF(COUNTIFS(Transactions!$E$2:$E$1001,A115,Transactions!$A$2:$A$1001,"Open")&gt;0,"Out","In")))</f>
      </c>
      <c r="I115" s="36"/>
    </row>
    <row r="116">
      <c r="A116" s="31"/>
      <c r="B116" s="31"/>
      <c r="C116" s="37">
        <f>IF(B116="","",IFERROR(INDEX('Item master'!$B$2:$B$301,MATCH(B116,'Item master'!$A$2:$A$301,0))&amp;"",""))</f>
      </c>
      <c r="D116" s="31"/>
      <c r="E116" s="32"/>
      <c r="F116" s="38">
        <f>IF(OR(A116="",E116=""),"",IF(E116&lt;TODAY(),"Overdue",IF(E116&lt;=TODAY()+14,"Due in 14 days","OK")))</f>
      </c>
      <c r="G116" s="30"/>
      <c r="H116" s="38">
        <f>IF(A116="","",IF(COUNTIFS(Transactions!$E$2:$E$1001,A116,Transactions!$A$2:$A$1001,"Overdue")&gt;0,"Overdue",IF(COUNTIFS(Transactions!$E$2:$E$1001,A116,Transactions!$A$2:$A$1001,"Open")&gt;0,"Out","In")))</f>
      </c>
      <c r="I116" s="36"/>
    </row>
    <row r="117">
      <c r="A117" s="31"/>
      <c r="B117" s="31"/>
      <c r="C117" s="37">
        <f>IF(B117="","",IFERROR(INDEX('Item master'!$B$2:$B$301,MATCH(B117,'Item master'!$A$2:$A$301,0))&amp;"",""))</f>
      </c>
      <c r="D117" s="31"/>
      <c r="E117" s="32"/>
      <c r="F117" s="38">
        <f>IF(OR(A117="",E117=""),"",IF(E117&lt;TODAY(),"Overdue",IF(E117&lt;=TODAY()+14,"Due in 14 days","OK")))</f>
      </c>
      <c r="G117" s="30"/>
      <c r="H117" s="38">
        <f>IF(A117="","",IF(COUNTIFS(Transactions!$E$2:$E$1001,A117,Transactions!$A$2:$A$1001,"Overdue")&gt;0,"Overdue",IF(COUNTIFS(Transactions!$E$2:$E$1001,A117,Transactions!$A$2:$A$1001,"Open")&gt;0,"Out","In")))</f>
      </c>
      <c r="I117" s="36"/>
    </row>
    <row r="118">
      <c r="A118" s="31"/>
      <c r="B118" s="31"/>
      <c r="C118" s="37">
        <f>IF(B118="","",IFERROR(INDEX('Item master'!$B$2:$B$301,MATCH(B118,'Item master'!$A$2:$A$301,0))&amp;"",""))</f>
      </c>
      <c r="D118" s="31"/>
      <c r="E118" s="32"/>
      <c r="F118" s="38">
        <f>IF(OR(A118="",E118=""),"",IF(E118&lt;TODAY(),"Overdue",IF(E118&lt;=TODAY()+14,"Due in 14 days","OK")))</f>
      </c>
      <c r="G118" s="30"/>
      <c r="H118" s="38">
        <f>IF(A118="","",IF(COUNTIFS(Transactions!$E$2:$E$1001,A118,Transactions!$A$2:$A$1001,"Overdue")&gt;0,"Overdue",IF(COUNTIFS(Transactions!$E$2:$E$1001,A118,Transactions!$A$2:$A$1001,"Open")&gt;0,"Out","In")))</f>
      </c>
      <c r="I118" s="36"/>
    </row>
    <row r="119">
      <c r="A119" s="31"/>
      <c r="B119" s="31"/>
      <c r="C119" s="37">
        <f>IF(B119="","",IFERROR(INDEX('Item master'!$B$2:$B$301,MATCH(B119,'Item master'!$A$2:$A$301,0))&amp;"",""))</f>
      </c>
      <c r="D119" s="31"/>
      <c r="E119" s="32"/>
      <c r="F119" s="38">
        <f>IF(OR(A119="",E119=""),"",IF(E119&lt;TODAY(),"Overdue",IF(E119&lt;=TODAY()+14,"Due in 14 days","OK")))</f>
      </c>
      <c r="G119" s="30"/>
      <c r="H119" s="38">
        <f>IF(A119="","",IF(COUNTIFS(Transactions!$E$2:$E$1001,A119,Transactions!$A$2:$A$1001,"Overdue")&gt;0,"Overdue",IF(COUNTIFS(Transactions!$E$2:$E$1001,A119,Transactions!$A$2:$A$1001,"Open")&gt;0,"Out","In")))</f>
      </c>
      <c r="I119" s="36"/>
    </row>
    <row r="120">
      <c r="A120" s="31"/>
      <c r="B120" s="31"/>
      <c r="C120" s="37">
        <f>IF(B120="","",IFERROR(INDEX('Item master'!$B$2:$B$301,MATCH(B120,'Item master'!$A$2:$A$301,0))&amp;"",""))</f>
      </c>
      <c r="D120" s="31"/>
      <c r="E120" s="32"/>
      <c r="F120" s="38">
        <f>IF(OR(A120="",E120=""),"",IF(E120&lt;TODAY(),"Overdue",IF(E120&lt;=TODAY()+14,"Due in 14 days","OK")))</f>
      </c>
      <c r="G120" s="30"/>
      <c r="H120" s="38">
        <f>IF(A120="","",IF(COUNTIFS(Transactions!$E$2:$E$1001,A120,Transactions!$A$2:$A$1001,"Overdue")&gt;0,"Overdue",IF(COUNTIFS(Transactions!$E$2:$E$1001,A120,Transactions!$A$2:$A$1001,"Open")&gt;0,"Out","In")))</f>
      </c>
      <c r="I120" s="36"/>
    </row>
    <row r="121">
      <c r="A121" s="31"/>
      <c r="B121" s="31"/>
      <c r="C121" s="37">
        <f>IF(B121="","",IFERROR(INDEX('Item master'!$B$2:$B$301,MATCH(B121,'Item master'!$A$2:$A$301,0))&amp;"",""))</f>
      </c>
      <c r="D121" s="31"/>
      <c r="E121" s="32"/>
      <c r="F121" s="38">
        <f>IF(OR(A121="",E121=""),"",IF(E121&lt;TODAY(),"Overdue",IF(E121&lt;=TODAY()+14,"Due in 14 days","OK")))</f>
      </c>
      <c r="G121" s="30"/>
      <c r="H121" s="38">
        <f>IF(A121="","",IF(COUNTIFS(Transactions!$E$2:$E$1001,A121,Transactions!$A$2:$A$1001,"Overdue")&gt;0,"Overdue",IF(COUNTIFS(Transactions!$E$2:$E$1001,A121,Transactions!$A$2:$A$1001,"Open")&gt;0,"Out","In")))</f>
      </c>
      <c r="I121" s="36"/>
    </row>
    <row r="122">
      <c r="A122" s="31"/>
      <c r="B122" s="31"/>
      <c r="C122" s="37">
        <f>IF(B122="","",IFERROR(INDEX('Item master'!$B$2:$B$301,MATCH(B122,'Item master'!$A$2:$A$301,0))&amp;"",""))</f>
      </c>
      <c r="D122" s="31"/>
      <c r="E122" s="32"/>
      <c r="F122" s="38">
        <f>IF(OR(A122="",E122=""),"",IF(E122&lt;TODAY(),"Overdue",IF(E122&lt;=TODAY()+14,"Due in 14 days","OK")))</f>
      </c>
      <c r="G122" s="30"/>
      <c r="H122" s="38">
        <f>IF(A122="","",IF(COUNTIFS(Transactions!$E$2:$E$1001,A122,Transactions!$A$2:$A$1001,"Overdue")&gt;0,"Overdue",IF(COUNTIFS(Transactions!$E$2:$E$1001,A122,Transactions!$A$2:$A$1001,"Open")&gt;0,"Out","In")))</f>
      </c>
      <c r="I122" s="36"/>
    </row>
    <row r="123">
      <c r="A123" s="31"/>
      <c r="B123" s="31"/>
      <c r="C123" s="37">
        <f>IF(B123="","",IFERROR(INDEX('Item master'!$B$2:$B$301,MATCH(B123,'Item master'!$A$2:$A$301,0))&amp;"",""))</f>
      </c>
      <c r="D123" s="31"/>
      <c r="E123" s="32"/>
      <c r="F123" s="38">
        <f>IF(OR(A123="",E123=""),"",IF(E123&lt;TODAY(),"Overdue",IF(E123&lt;=TODAY()+14,"Due in 14 days","OK")))</f>
      </c>
      <c r="G123" s="30"/>
      <c r="H123" s="38">
        <f>IF(A123="","",IF(COUNTIFS(Transactions!$E$2:$E$1001,A123,Transactions!$A$2:$A$1001,"Overdue")&gt;0,"Overdue",IF(COUNTIFS(Transactions!$E$2:$E$1001,A123,Transactions!$A$2:$A$1001,"Open")&gt;0,"Out","In")))</f>
      </c>
      <c r="I123" s="36"/>
    </row>
    <row r="124">
      <c r="A124" s="31"/>
      <c r="B124" s="31"/>
      <c r="C124" s="37">
        <f>IF(B124="","",IFERROR(INDEX('Item master'!$B$2:$B$301,MATCH(B124,'Item master'!$A$2:$A$301,0))&amp;"",""))</f>
      </c>
      <c r="D124" s="31"/>
      <c r="E124" s="32"/>
      <c r="F124" s="38">
        <f>IF(OR(A124="",E124=""),"",IF(E124&lt;TODAY(),"Overdue",IF(E124&lt;=TODAY()+14,"Due in 14 days","OK")))</f>
      </c>
      <c r="G124" s="30"/>
      <c r="H124" s="38">
        <f>IF(A124="","",IF(COUNTIFS(Transactions!$E$2:$E$1001,A124,Transactions!$A$2:$A$1001,"Overdue")&gt;0,"Overdue",IF(COUNTIFS(Transactions!$E$2:$E$1001,A124,Transactions!$A$2:$A$1001,"Open")&gt;0,"Out","In")))</f>
      </c>
      <c r="I124" s="36"/>
    </row>
    <row r="125">
      <c r="A125" s="31"/>
      <c r="B125" s="31"/>
      <c r="C125" s="37">
        <f>IF(B125="","",IFERROR(INDEX('Item master'!$B$2:$B$301,MATCH(B125,'Item master'!$A$2:$A$301,0))&amp;"",""))</f>
      </c>
      <c r="D125" s="31"/>
      <c r="E125" s="32"/>
      <c r="F125" s="38">
        <f>IF(OR(A125="",E125=""),"",IF(E125&lt;TODAY(),"Overdue",IF(E125&lt;=TODAY()+14,"Due in 14 days","OK")))</f>
      </c>
      <c r="G125" s="30"/>
      <c r="H125" s="38">
        <f>IF(A125="","",IF(COUNTIFS(Transactions!$E$2:$E$1001,A125,Transactions!$A$2:$A$1001,"Overdue")&gt;0,"Overdue",IF(COUNTIFS(Transactions!$E$2:$E$1001,A125,Transactions!$A$2:$A$1001,"Open")&gt;0,"Out","In")))</f>
      </c>
      <c r="I125" s="36"/>
    </row>
    <row r="126">
      <c r="A126" s="31"/>
      <c r="B126" s="31"/>
      <c r="C126" s="37">
        <f>IF(B126="","",IFERROR(INDEX('Item master'!$B$2:$B$301,MATCH(B126,'Item master'!$A$2:$A$301,0))&amp;"",""))</f>
      </c>
      <c r="D126" s="31"/>
      <c r="E126" s="32"/>
      <c r="F126" s="38">
        <f>IF(OR(A126="",E126=""),"",IF(E126&lt;TODAY(),"Overdue",IF(E126&lt;=TODAY()+14,"Due in 14 days","OK")))</f>
      </c>
      <c r="G126" s="30"/>
      <c r="H126" s="38">
        <f>IF(A126="","",IF(COUNTIFS(Transactions!$E$2:$E$1001,A126,Transactions!$A$2:$A$1001,"Overdue")&gt;0,"Overdue",IF(COUNTIFS(Transactions!$E$2:$E$1001,A126,Transactions!$A$2:$A$1001,"Open")&gt;0,"Out","In")))</f>
      </c>
      <c r="I126" s="36"/>
    </row>
    <row r="127">
      <c r="A127" s="31"/>
      <c r="B127" s="31"/>
      <c r="C127" s="37">
        <f>IF(B127="","",IFERROR(INDEX('Item master'!$B$2:$B$301,MATCH(B127,'Item master'!$A$2:$A$301,0))&amp;"",""))</f>
      </c>
      <c r="D127" s="31"/>
      <c r="E127" s="32"/>
      <c r="F127" s="38">
        <f>IF(OR(A127="",E127=""),"",IF(E127&lt;TODAY(),"Overdue",IF(E127&lt;=TODAY()+14,"Due in 14 days","OK")))</f>
      </c>
      <c r="G127" s="30"/>
      <c r="H127" s="38">
        <f>IF(A127="","",IF(COUNTIFS(Transactions!$E$2:$E$1001,A127,Transactions!$A$2:$A$1001,"Overdue")&gt;0,"Overdue",IF(COUNTIFS(Transactions!$E$2:$E$1001,A127,Transactions!$A$2:$A$1001,"Open")&gt;0,"Out","In")))</f>
      </c>
      <c r="I127" s="36"/>
    </row>
    <row r="128">
      <c r="A128" s="31"/>
      <c r="B128" s="31"/>
      <c r="C128" s="37">
        <f>IF(B128="","",IFERROR(INDEX('Item master'!$B$2:$B$301,MATCH(B128,'Item master'!$A$2:$A$301,0))&amp;"",""))</f>
      </c>
      <c r="D128" s="31"/>
      <c r="E128" s="32"/>
      <c r="F128" s="38">
        <f>IF(OR(A128="",E128=""),"",IF(E128&lt;TODAY(),"Overdue",IF(E128&lt;=TODAY()+14,"Due in 14 days","OK")))</f>
      </c>
      <c r="G128" s="30"/>
      <c r="H128" s="38">
        <f>IF(A128="","",IF(COUNTIFS(Transactions!$E$2:$E$1001,A128,Transactions!$A$2:$A$1001,"Overdue")&gt;0,"Overdue",IF(COUNTIFS(Transactions!$E$2:$E$1001,A128,Transactions!$A$2:$A$1001,"Open")&gt;0,"Out","In")))</f>
      </c>
      <c r="I128" s="36"/>
    </row>
    <row r="129">
      <c r="A129" s="31"/>
      <c r="B129" s="31"/>
      <c r="C129" s="37">
        <f>IF(B129="","",IFERROR(INDEX('Item master'!$B$2:$B$301,MATCH(B129,'Item master'!$A$2:$A$301,0))&amp;"",""))</f>
      </c>
      <c r="D129" s="31"/>
      <c r="E129" s="32"/>
      <c r="F129" s="38">
        <f>IF(OR(A129="",E129=""),"",IF(E129&lt;TODAY(),"Overdue",IF(E129&lt;=TODAY()+14,"Due in 14 days","OK")))</f>
      </c>
      <c r="G129" s="30"/>
      <c r="H129" s="38">
        <f>IF(A129="","",IF(COUNTIFS(Transactions!$E$2:$E$1001,A129,Transactions!$A$2:$A$1001,"Overdue")&gt;0,"Overdue",IF(COUNTIFS(Transactions!$E$2:$E$1001,A129,Transactions!$A$2:$A$1001,"Open")&gt;0,"Out","In")))</f>
      </c>
      <c r="I129" s="36"/>
    </row>
    <row r="130">
      <c r="A130" s="31"/>
      <c r="B130" s="31"/>
      <c r="C130" s="37">
        <f>IF(B130="","",IFERROR(INDEX('Item master'!$B$2:$B$301,MATCH(B130,'Item master'!$A$2:$A$301,0))&amp;"",""))</f>
      </c>
      <c r="D130" s="31"/>
      <c r="E130" s="32"/>
      <c r="F130" s="38">
        <f>IF(OR(A130="",E130=""),"",IF(E130&lt;TODAY(),"Overdue",IF(E130&lt;=TODAY()+14,"Due in 14 days","OK")))</f>
      </c>
      <c r="G130" s="30"/>
      <c r="H130" s="38">
        <f>IF(A130="","",IF(COUNTIFS(Transactions!$E$2:$E$1001,A130,Transactions!$A$2:$A$1001,"Overdue")&gt;0,"Overdue",IF(COUNTIFS(Transactions!$E$2:$E$1001,A130,Transactions!$A$2:$A$1001,"Open")&gt;0,"Out","In")))</f>
      </c>
      <c r="I130" s="36"/>
    </row>
    <row r="131">
      <c r="A131" s="31"/>
      <c r="B131" s="31"/>
      <c r="C131" s="37">
        <f>IF(B131="","",IFERROR(INDEX('Item master'!$B$2:$B$301,MATCH(B131,'Item master'!$A$2:$A$301,0))&amp;"",""))</f>
      </c>
      <c r="D131" s="31"/>
      <c r="E131" s="32"/>
      <c r="F131" s="38">
        <f>IF(OR(A131="",E131=""),"",IF(E131&lt;TODAY(),"Overdue",IF(E131&lt;=TODAY()+14,"Due in 14 days","OK")))</f>
      </c>
      <c r="G131" s="30"/>
      <c r="H131" s="38">
        <f>IF(A131="","",IF(COUNTIFS(Transactions!$E$2:$E$1001,A131,Transactions!$A$2:$A$1001,"Overdue")&gt;0,"Overdue",IF(COUNTIFS(Transactions!$E$2:$E$1001,A131,Transactions!$A$2:$A$1001,"Open")&gt;0,"Out","In")))</f>
      </c>
      <c r="I131" s="36"/>
    </row>
    <row r="132">
      <c r="A132" s="31"/>
      <c r="B132" s="31"/>
      <c r="C132" s="37">
        <f>IF(B132="","",IFERROR(INDEX('Item master'!$B$2:$B$301,MATCH(B132,'Item master'!$A$2:$A$301,0))&amp;"",""))</f>
      </c>
      <c r="D132" s="31"/>
      <c r="E132" s="32"/>
      <c r="F132" s="38">
        <f>IF(OR(A132="",E132=""),"",IF(E132&lt;TODAY(),"Overdue",IF(E132&lt;=TODAY()+14,"Due in 14 days","OK")))</f>
      </c>
      <c r="G132" s="30"/>
      <c r="H132" s="38">
        <f>IF(A132="","",IF(COUNTIFS(Transactions!$E$2:$E$1001,A132,Transactions!$A$2:$A$1001,"Overdue")&gt;0,"Overdue",IF(COUNTIFS(Transactions!$E$2:$E$1001,A132,Transactions!$A$2:$A$1001,"Open")&gt;0,"Out","In")))</f>
      </c>
      <c r="I132" s="36"/>
    </row>
    <row r="133">
      <c r="A133" s="31"/>
      <c r="B133" s="31"/>
      <c r="C133" s="37">
        <f>IF(B133="","",IFERROR(INDEX('Item master'!$B$2:$B$301,MATCH(B133,'Item master'!$A$2:$A$301,0))&amp;"",""))</f>
      </c>
      <c r="D133" s="31"/>
      <c r="E133" s="32"/>
      <c r="F133" s="38">
        <f>IF(OR(A133="",E133=""),"",IF(E133&lt;TODAY(),"Overdue",IF(E133&lt;=TODAY()+14,"Due in 14 days","OK")))</f>
      </c>
      <c r="G133" s="30"/>
      <c r="H133" s="38">
        <f>IF(A133="","",IF(COUNTIFS(Transactions!$E$2:$E$1001,A133,Transactions!$A$2:$A$1001,"Overdue")&gt;0,"Overdue",IF(COUNTIFS(Transactions!$E$2:$E$1001,A133,Transactions!$A$2:$A$1001,"Open")&gt;0,"Out","In")))</f>
      </c>
      <c r="I133" s="36"/>
    </row>
    <row r="134">
      <c r="A134" s="31"/>
      <c r="B134" s="31"/>
      <c r="C134" s="37">
        <f>IF(B134="","",IFERROR(INDEX('Item master'!$B$2:$B$301,MATCH(B134,'Item master'!$A$2:$A$301,0))&amp;"",""))</f>
      </c>
      <c r="D134" s="31"/>
      <c r="E134" s="32"/>
      <c r="F134" s="38">
        <f>IF(OR(A134="",E134=""),"",IF(E134&lt;TODAY(),"Overdue",IF(E134&lt;=TODAY()+14,"Due in 14 days","OK")))</f>
      </c>
      <c r="G134" s="30"/>
      <c r="H134" s="38">
        <f>IF(A134="","",IF(COUNTIFS(Transactions!$E$2:$E$1001,A134,Transactions!$A$2:$A$1001,"Overdue")&gt;0,"Overdue",IF(COUNTIFS(Transactions!$E$2:$E$1001,A134,Transactions!$A$2:$A$1001,"Open")&gt;0,"Out","In")))</f>
      </c>
      <c r="I134" s="36"/>
    </row>
    <row r="135">
      <c r="A135" s="31"/>
      <c r="B135" s="31"/>
      <c r="C135" s="37">
        <f>IF(B135="","",IFERROR(INDEX('Item master'!$B$2:$B$301,MATCH(B135,'Item master'!$A$2:$A$301,0))&amp;"",""))</f>
      </c>
      <c r="D135" s="31"/>
      <c r="E135" s="32"/>
      <c r="F135" s="38">
        <f>IF(OR(A135="",E135=""),"",IF(E135&lt;TODAY(),"Overdue",IF(E135&lt;=TODAY()+14,"Due in 14 days","OK")))</f>
      </c>
      <c r="G135" s="30"/>
      <c r="H135" s="38">
        <f>IF(A135="","",IF(COUNTIFS(Transactions!$E$2:$E$1001,A135,Transactions!$A$2:$A$1001,"Overdue")&gt;0,"Overdue",IF(COUNTIFS(Transactions!$E$2:$E$1001,A135,Transactions!$A$2:$A$1001,"Open")&gt;0,"Out","In")))</f>
      </c>
      <c r="I135" s="36"/>
    </row>
    <row r="136">
      <c r="A136" s="31"/>
      <c r="B136" s="31"/>
      <c r="C136" s="37">
        <f>IF(B136="","",IFERROR(INDEX('Item master'!$B$2:$B$301,MATCH(B136,'Item master'!$A$2:$A$301,0))&amp;"",""))</f>
      </c>
      <c r="D136" s="31"/>
      <c r="E136" s="32"/>
      <c r="F136" s="38">
        <f>IF(OR(A136="",E136=""),"",IF(E136&lt;TODAY(),"Overdue",IF(E136&lt;=TODAY()+14,"Due in 14 days","OK")))</f>
      </c>
      <c r="G136" s="30"/>
      <c r="H136" s="38">
        <f>IF(A136="","",IF(COUNTIFS(Transactions!$E$2:$E$1001,A136,Transactions!$A$2:$A$1001,"Overdue")&gt;0,"Overdue",IF(COUNTIFS(Transactions!$E$2:$E$1001,A136,Transactions!$A$2:$A$1001,"Open")&gt;0,"Out","In")))</f>
      </c>
      <c r="I136" s="36"/>
    </row>
    <row r="137">
      <c r="A137" s="31"/>
      <c r="B137" s="31"/>
      <c r="C137" s="37">
        <f>IF(B137="","",IFERROR(INDEX('Item master'!$B$2:$B$301,MATCH(B137,'Item master'!$A$2:$A$301,0))&amp;"",""))</f>
      </c>
      <c r="D137" s="31"/>
      <c r="E137" s="32"/>
      <c r="F137" s="38">
        <f>IF(OR(A137="",E137=""),"",IF(E137&lt;TODAY(),"Overdue",IF(E137&lt;=TODAY()+14,"Due in 14 days","OK")))</f>
      </c>
      <c r="G137" s="30"/>
      <c r="H137" s="38">
        <f>IF(A137="","",IF(COUNTIFS(Transactions!$E$2:$E$1001,A137,Transactions!$A$2:$A$1001,"Overdue")&gt;0,"Overdue",IF(COUNTIFS(Transactions!$E$2:$E$1001,A137,Transactions!$A$2:$A$1001,"Open")&gt;0,"Out","In")))</f>
      </c>
      <c r="I137" s="36"/>
    </row>
    <row r="138">
      <c r="A138" s="31"/>
      <c r="B138" s="31"/>
      <c r="C138" s="37">
        <f>IF(B138="","",IFERROR(INDEX('Item master'!$B$2:$B$301,MATCH(B138,'Item master'!$A$2:$A$301,0))&amp;"",""))</f>
      </c>
      <c r="D138" s="31"/>
      <c r="E138" s="32"/>
      <c r="F138" s="38">
        <f>IF(OR(A138="",E138=""),"",IF(E138&lt;TODAY(),"Overdue",IF(E138&lt;=TODAY()+14,"Due in 14 days","OK")))</f>
      </c>
      <c r="G138" s="30"/>
      <c r="H138" s="38">
        <f>IF(A138="","",IF(COUNTIFS(Transactions!$E$2:$E$1001,A138,Transactions!$A$2:$A$1001,"Overdue")&gt;0,"Overdue",IF(COUNTIFS(Transactions!$E$2:$E$1001,A138,Transactions!$A$2:$A$1001,"Open")&gt;0,"Out","In")))</f>
      </c>
      <c r="I138" s="36"/>
    </row>
    <row r="139">
      <c r="A139" s="31"/>
      <c r="B139" s="31"/>
      <c r="C139" s="37">
        <f>IF(B139="","",IFERROR(INDEX('Item master'!$B$2:$B$301,MATCH(B139,'Item master'!$A$2:$A$301,0))&amp;"",""))</f>
      </c>
      <c r="D139" s="31"/>
      <c r="E139" s="32"/>
      <c r="F139" s="38">
        <f>IF(OR(A139="",E139=""),"",IF(E139&lt;TODAY(),"Overdue",IF(E139&lt;=TODAY()+14,"Due in 14 days","OK")))</f>
      </c>
      <c r="G139" s="30"/>
      <c r="H139" s="38">
        <f>IF(A139="","",IF(COUNTIFS(Transactions!$E$2:$E$1001,A139,Transactions!$A$2:$A$1001,"Overdue")&gt;0,"Overdue",IF(COUNTIFS(Transactions!$E$2:$E$1001,A139,Transactions!$A$2:$A$1001,"Open")&gt;0,"Out","In")))</f>
      </c>
      <c r="I139" s="36"/>
    </row>
    <row r="140">
      <c r="A140" s="31"/>
      <c r="B140" s="31"/>
      <c r="C140" s="37">
        <f>IF(B140="","",IFERROR(INDEX('Item master'!$B$2:$B$301,MATCH(B140,'Item master'!$A$2:$A$301,0))&amp;"",""))</f>
      </c>
      <c r="D140" s="31"/>
      <c r="E140" s="32"/>
      <c r="F140" s="38">
        <f>IF(OR(A140="",E140=""),"",IF(E140&lt;TODAY(),"Overdue",IF(E140&lt;=TODAY()+14,"Due in 14 days","OK")))</f>
      </c>
      <c r="G140" s="30"/>
      <c r="H140" s="38">
        <f>IF(A140="","",IF(COUNTIFS(Transactions!$E$2:$E$1001,A140,Transactions!$A$2:$A$1001,"Overdue")&gt;0,"Overdue",IF(COUNTIFS(Transactions!$E$2:$E$1001,A140,Transactions!$A$2:$A$1001,"Open")&gt;0,"Out","In")))</f>
      </c>
      <c r="I140" s="36"/>
    </row>
    <row r="141">
      <c r="A141" s="31"/>
      <c r="B141" s="31"/>
      <c r="C141" s="37">
        <f>IF(B141="","",IFERROR(INDEX('Item master'!$B$2:$B$301,MATCH(B141,'Item master'!$A$2:$A$301,0))&amp;"",""))</f>
      </c>
      <c r="D141" s="31"/>
      <c r="E141" s="32"/>
      <c r="F141" s="38">
        <f>IF(OR(A141="",E141=""),"",IF(E141&lt;TODAY(),"Overdue",IF(E141&lt;=TODAY()+14,"Due in 14 days","OK")))</f>
      </c>
      <c r="G141" s="30"/>
      <c r="H141" s="38">
        <f>IF(A141="","",IF(COUNTIFS(Transactions!$E$2:$E$1001,A141,Transactions!$A$2:$A$1001,"Overdue")&gt;0,"Overdue",IF(COUNTIFS(Transactions!$E$2:$E$1001,A141,Transactions!$A$2:$A$1001,"Open")&gt;0,"Out","In")))</f>
      </c>
      <c r="I141" s="36"/>
    </row>
    <row r="142">
      <c r="A142" s="31"/>
      <c r="B142" s="31"/>
      <c r="C142" s="37">
        <f>IF(B142="","",IFERROR(INDEX('Item master'!$B$2:$B$301,MATCH(B142,'Item master'!$A$2:$A$301,0))&amp;"",""))</f>
      </c>
      <c r="D142" s="31"/>
      <c r="E142" s="32"/>
      <c r="F142" s="38">
        <f>IF(OR(A142="",E142=""),"",IF(E142&lt;TODAY(),"Overdue",IF(E142&lt;=TODAY()+14,"Due in 14 days","OK")))</f>
      </c>
      <c r="G142" s="30"/>
      <c r="H142" s="38">
        <f>IF(A142="","",IF(COUNTIFS(Transactions!$E$2:$E$1001,A142,Transactions!$A$2:$A$1001,"Overdue")&gt;0,"Overdue",IF(COUNTIFS(Transactions!$E$2:$E$1001,A142,Transactions!$A$2:$A$1001,"Open")&gt;0,"Out","In")))</f>
      </c>
      <c r="I142" s="36"/>
    </row>
    <row r="143">
      <c r="A143" s="31"/>
      <c r="B143" s="31"/>
      <c r="C143" s="37">
        <f>IF(B143="","",IFERROR(INDEX('Item master'!$B$2:$B$301,MATCH(B143,'Item master'!$A$2:$A$301,0))&amp;"",""))</f>
      </c>
      <c r="D143" s="31"/>
      <c r="E143" s="32"/>
      <c r="F143" s="38">
        <f>IF(OR(A143="",E143=""),"",IF(E143&lt;TODAY(),"Overdue",IF(E143&lt;=TODAY()+14,"Due in 14 days","OK")))</f>
      </c>
      <c r="G143" s="30"/>
      <c r="H143" s="38">
        <f>IF(A143="","",IF(COUNTIFS(Transactions!$E$2:$E$1001,A143,Transactions!$A$2:$A$1001,"Overdue")&gt;0,"Overdue",IF(COUNTIFS(Transactions!$E$2:$E$1001,A143,Transactions!$A$2:$A$1001,"Open")&gt;0,"Out","In")))</f>
      </c>
      <c r="I143" s="36"/>
    </row>
    <row r="144">
      <c r="A144" s="31"/>
      <c r="B144" s="31"/>
      <c r="C144" s="37">
        <f>IF(B144="","",IFERROR(INDEX('Item master'!$B$2:$B$301,MATCH(B144,'Item master'!$A$2:$A$301,0))&amp;"",""))</f>
      </c>
      <c r="D144" s="31"/>
      <c r="E144" s="32"/>
      <c r="F144" s="38">
        <f>IF(OR(A144="",E144=""),"",IF(E144&lt;TODAY(),"Overdue",IF(E144&lt;=TODAY()+14,"Due in 14 days","OK")))</f>
      </c>
      <c r="G144" s="30"/>
      <c r="H144" s="38">
        <f>IF(A144="","",IF(COUNTIFS(Transactions!$E$2:$E$1001,A144,Transactions!$A$2:$A$1001,"Overdue")&gt;0,"Overdue",IF(COUNTIFS(Transactions!$E$2:$E$1001,A144,Transactions!$A$2:$A$1001,"Open")&gt;0,"Out","In")))</f>
      </c>
      <c r="I144" s="36"/>
    </row>
    <row r="145">
      <c r="A145" s="31"/>
      <c r="B145" s="31"/>
      <c r="C145" s="37">
        <f>IF(B145="","",IFERROR(INDEX('Item master'!$B$2:$B$301,MATCH(B145,'Item master'!$A$2:$A$301,0))&amp;"",""))</f>
      </c>
      <c r="D145" s="31"/>
      <c r="E145" s="32"/>
      <c r="F145" s="38">
        <f>IF(OR(A145="",E145=""),"",IF(E145&lt;TODAY(),"Overdue",IF(E145&lt;=TODAY()+14,"Due in 14 days","OK")))</f>
      </c>
      <c r="G145" s="30"/>
      <c r="H145" s="38">
        <f>IF(A145="","",IF(COUNTIFS(Transactions!$E$2:$E$1001,A145,Transactions!$A$2:$A$1001,"Overdue")&gt;0,"Overdue",IF(COUNTIFS(Transactions!$E$2:$E$1001,A145,Transactions!$A$2:$A$1001,"Open")&gt;0,"Out","In")))</f>
      </c>
      <c r="I145" s="36"/>
    </row>
    <row r="146">
      <c r="A146" s="31"/>
      <c r="B146" s="31"/>
      <c r="C146" s="37">
        <f>IF(B146="","",IFERROR(INDEX('Item master'!$B$2:$B$301,MATCH(B146,'Item master'!$A$2:$A$301,0))&amp;"",""))</f>
      </c>
      <c r="D146" s="31"/>
      <c r="E146" s="32"/>
      <c r="F146" s="38">
        <f>IF(OR(A146="",E146=""),"",IF(E146&lt;TODAY(),"Overdue",IF(E146&lt;=TODAY()+14,"Due in 14 days","OK")))</f>
      </c>
      <c r="G146" s="30"/>
      <c r="H146" s="38">
        <f>IF(A146="","",IF(COUNTIFS(Transactions!$E$2:$E$1001,A146,Transactions!$A$2:$A$1001,"Overdue")&gt;0,"Overdue",IF(COUNTIFS(Transactions!$E$2:$E$1001,A146,Transactions!$A$2:$A$1001,"Open")&gt;0,"Out","In")))</f>
      </c>
      <c r="I146" s="36"/>
    </row>
    <row r="147">
      <c r="A147" s="31"/>
      <c r="B147" s="31"/>
      <c r="C147" s="37">
        <f>IF(B147="","",IFERROR(INDEX('Item master'!$B$2:$B$301,MATCH(B147,'Item master'!$A$2:$A$301,0))&amp;"",""))</f>
      </c>
      <c r="D147" s="31"/>
      <c r="E147" s="32"/>
      <c r="F147" s="38">
        <f>IF(OR(A147="",E147=""),"",IF(E147&lt;TODAY(),"Overdue",IF(E147&lt;=TODAY()+14,"Due in 14 days","OK")))</f>
      </c>
      <c r="G147" s="30"/>
      <c r="H147" s="38">
        <f>IF(A147="","",IF(COUNTIFS(Transactions!$E$2:$E$1001,A147,Transactions!$A$2:$A$1001,"Overdue")&gt;0,"Overdue",IF(COUNTIFS(Transactions!$E$2:$E$1001,A147,Transactions!$A$2:$A$1001,"Open")&gt;0,"Out","In")))</f>
      </c>
      <c r="I147" s="36"/>
    </row>
    <row r="148">
      <c r="A148" s="31"/>
      <c r="B148" s="31"/>
      <c r="C148" s="37">
        <f>IF(B148="","",IFERROR(INDEX('Item master'!$B$2:$B$301,MATCH(B148,'Item master'!$A$2:$A$301,0))&amp;"",""))</f>
      </c>
      <c r="D148" s="31"/>
      <c r="E148" s="32"/>
      <c r="F148" s="38">
        <f>IF(OR(A148="",E148=""),"",IF(E148&lt;TODAY(),"Overdue",IF(E148&lt;=TODAY()+14,"Due in 14 days","OK")))</f>
      </c>
      <c r="G148" s="30"/>
      <c r="H148" s="38">
        <f>IF(A148="","",IF(COUNTIFS(Transactions!$E$2:$E$1001,A148,Transactions!$A$2:$A$1001,"Overdue")&gt;0,"Overdue",IF(COUNTIFS(Transactions!$E$2:$E$1001,A148,Transactions!$A$2:$A$1001,"Open")&gt;0,"Out","In")))</f>
      </c>
      <c r="I148" s="36"/>
    </row>
    <row r="149">
      <c r="A149" s="31"/>
      <c r="B149" s="31"/>
      <c r="C149" s="37">
        <f>IF(B149="","",IFERROR(INDEX('Item master'!$B$2:$B$301,MATCH(B149,'Item master'!$A$2:$A$301,0))&amp;"",""))</f>
      </c>
      <c r="D149" s="31"/>
      <c r="E149" s="32"/>
      <c r="F149" s="38">
        <f>IF(OR(A149="",E149=""),"",IF(E149&lt;TODAY(),"Overdue",IF(E149&lt;=TODAY()+14,"Due in 14 days","OK")))</f>
      </c>
      <c r="G149" s="30"/>
      <c r="H149" s="38">
        <f>IF(A149="","",IF(COUNTIFS(Transactions!$E$2:$E$1001,A149,Transactions!$A$2:$A$1001,"Overdue")&gt;0,"Overdue",IF(COUNTIFS(Transactions!$E$2:$E$1001,A149,Transactions!$A$2:$A$1001,"Open")&gt;0,"Out","In")))</f>
      </c>
      <c r="I149" s="36"/>
    </row>
    <row r="150">
      <c r="A150" s="31"/>
      <c r="B150" s="31"/>
      <c r="C150" s="37">
        <f>IF(B150="","",IFERROR(INDEX('Item master'!$B$2:$B$301,MATCH(B150,'Item master'!$A$2:$A$301,0))&amp;"",""))</f>
      </c>
      <c r="D150" s="31"/>
      <c r="E150" s="32"/>
      <c r="F150" s="38">
        <f>IF(OR(A150="",E150=""),"",IF(E150&lt;TODAY(),"Overdue",IF(E150&lt;=TODAY()+14,"Due in 14 days","OK")))</f>
      </c>
      <c r="G150" s="30"/>
      <c r="H150" s="38">
        <f>IF(A150="","",IF(COUNTIFS(Transactions!$E$2:$E$1001,A150,Transactions!$A$2:$A$1001,"Overdue")&gt;0,"Overdue",IF(COUNTIFS(Transactions!$E$2:$E$1001,A150,Transactions!$A$2:$A$1001,"Open")&gt;0,"Out","In")))</f>
      </c>
      <c r="I150" s="36"/>
    </row>
    <row r="151">
      <c r="A151" s="31"/>
      <c r="B151" s="31"/>
      <c r="C151" s="37">
        <f>IF(B151="","",IFERROR(INDEX('Item master'!$B$2:$B$301,MATCH(B151,'Item master'!$A$2:$A$301,0))&amp;"",""))</f>
      </c>
      <c r="D151" s="31"/>
      <c r="E151" s="32"/>
      <c r="F151" s="38">
        <f>IF(OR(A151="",E151=""),"",IF(E151&lt;TODAY(),"Overdue",IF(E151&lt;=TODAY()+14,"Due in 14 days","OK")))</f>
      </c>
      <c r="G151" s="30"/>
      <c r="H151" s="38">
        <f>IF(A151="","",IF(COUNTIFS(Transactions!$E$2:$E$1001,A151,Transactions!$A$2:$A$1001,"Overdue")&gt;0,"Overdue",IF(COUNTIFS(Transactions!$E$2:$E$1001,A151,Transactions!$A$2:$A$1001,"Open")&gt;0,"Out","In")))</f>
      </c>
      <c r="I151" s="36"/>
    </row>
    <row r="152">
      <c r="A152" s="31"/>
      <c r="B152" s="31"/>
      <c r="C152" s="37">
        <f>IF(B152="","",IFERROR(INDEX('Item master'!$B$2:$B$301,MATCH(B152,'Item master'!$A$2:$A$301,0))&amp;"",""))</f>
      </c>
      <c r="D152" s="31"/>
      <c r="E152" s="32"/>
      <c r="F152" s="38">
        <f>IF(OR(A152="",E152=""),"",IF(E152&lt;TODAY(),"Overdue",IF(E152&lt;=TODAY()+14,"Due in 14 days","OK")))</f>
      </c>
      <c r="G152" s="30"/>
      <c r="H152" s="38">
        <f>IF(A152="","",IF(COUNTIFS(Transactions!$E$2:$E$1001,A152,Transactions!$A$2:$A$1001,"Overdue")&gt;0,"Overdue",IF(COUNTIFS(Transactions!$E$2:$E$1001,A152,Transactions!$A$2:$A$1001,"Open")&gt;0,"Out","In")))</f>
      </c>
      <c r="I152" s="36"/>
    </row>
    <row r="153">
      <c r="A153" s="31"/>
      <c r="B153" s="31"/>
      <c r="C153" s="37">
        <f>IF(B153="","",IFERROR(INDEX('Item master'!$B$2:$B$301,MATCH(B153,'Item master'!$A$2:$A$301,0))&amp;"",""))</f>
      </c>
      <c r="D153" s="31"/>
      <c r="E153" s="32"/>
      <c r="F153" s="38">
        <f>IF(OR(A153="",E153=""),"",IF(E153&lt;TODAY(),"Overdue",IF(E153&lt;=TODAY()+14,"Due in 14 days","OK")))</f>
      </c>
      <c r="G153" s="30"/>
      <c r="H153" s="38">
        <f>IF(A153="","",IF(COUNTIFS(Transactions!$E$2:$E$1001,A153,Transactions!$A$2:$A$1001,"Overdue")&gt;0,"Overdue",IF(COUNTIFS(Transactions!$E$2:$E$1001,A153,Transactions!$A$2:$A$1001,"Open")&gt;0,"Out","In")))</f>
      </c>
      <c r="I153" s="36"/>
    </row>
    <row r="154">
      <c r="A154" s="31"/>
      <c r="B154" s="31"/>
      <c r="C154" s="37">
        <f>IF(B154="","",IFERROR(INDEX('Item master'!$B$2:$B$301,MATCH(B154,'Item master'!$A$2:$A$301,0))&amp;"",""))</f>
      </c>
      <c r="D154" s="31"/>
      <c r="E154" s="32"/>
      <c r="F154" s="38">
        <f>IF(OR(A154="",E154=""),"",IF(E154&lt;TODAY(),"Overdue",IF(E154&lt;=TODAY()+14,"Due in 14 days","OK")))</f>
      </c>
      <c r="G154" s="30"/>
      <c r="H154" s="38">
        <f>IF(A154="","",IF(COUNTIFS(Transactions!$E$2:$E$1001,A154,Transactions!$A$2:$A$1001,"Overdue")&gt;0,"Overdue",IF(COUNTIFS(Transactions!$E$2:$E$1001,A154,Transactions!$A$2:$A$1001,"Open")&gt;0,"Out","In")))</f>
      </c>
      <c r="I154" s="36"/>
    </row>
    <row r="155">
      <c r="A155" s="31"/>
      <c r="B155" s="31"/>
      <c r="C155" s="37">
        <f>IF(B155="","",IFERROR(INDEX('Item master'!$B$2:$B$301,MATCH(B155,'Item master'!$A$2:$A$301,0))&amp;"",""))</f>
      </c>
      <c r="D155" s="31"/>
      <c r="E155" s="32"/>
      <c r="F155" s="38">
        <f>IF(OR(A155="",E155=""),"",IF(E155&lt;TODAY(),"Overdue",IF(E155&lt;=TODAY()+14,"Due in 14 days","OK")))</f>
      </c>
      <c r="G155" s="30"/>
      <c r="H155" s="38">
        <f>IF(A155="","",IF(COUNTIFS(Transactions!$E$2:$E$1001,A155,Transactions!$A$2:$A$1001,"Overdue")&gt;0,"Overdue",IF(COUNTIFS(Transactions!$E$2:$E$1001,A155,Transactions!$A$2:$A$1001,"Open")&gt;0,"Out","In")))</f>
      </c>
      <c r="I155" s="36"/>
    </row>
    <row r="156">
      <c r="A156" s="31"/>
      <c r="B156" s="31"/>
      <c r="C156" s="37">
        <f>IF(B156="","",IFERROR(INDEX('Item master'!$B$2:$B$301,MATCH(B156,'Item master'!$A$2:$A$301,0))&amp;"",""))</f>
      </c>
      <c r="D156" s="31"/>
      <c r="E156" s="32"/>
      <c r="F156" s="38">
        <f>IF(OR(A156="",E156=""),"",IF(E156&lt;TODAY(),"Overdue",IF(E156&lt;=TODAY()+14,"Due in 14 days","OK")))</f>
      </c>
      <c r="G156" s="30"/>
      <c r="H156" s="38">
        <f>IF(A156="","",IF(COUNTIFS(Transactions!$E$2:$E$1001,A156,Transactions!$A$2:$A$1001,"Overdue")&gt;0,"Overdue",IF(COUNTIFS(Transactions!$E$2:$E$1001,A156,Transactions!$A$2:$A$1001,"Open")&gt;0,"Out","In")))</f>
      </c>
      <c r="I156" s="36"/>
    </row>
    <row r="157">
      <c r="A157" s="31"/>
      <c r="B157" s="31"/>
      <c r="C157" s="37">
        <f>IF(B157="","",IFERROR(INDEX('Item master'!$B$2:$B$301,MATCH(B157,'Item master'!$A$2:$A$301,0))&amp;"",""))</f>
      </c>
      <c r="D157" s="31"/>
      <c r="E157" s="32"/>
      <c r="F157" s="38">
        <f>IF(OR(A157="",E157=""),"",IF(E157&lt;TODAY(),"Overdue",IF(E157&lt;=TODAY()+14,"Due in 14 days","OK")))</f>
      </c>
      <c r="G157" s="30"/>
      <c r="H157" s="38">
        <f>IF(A157="","",IF(COUNTIFS(Transactions!$E$2:$E$1001,A157,Transactions!$A$2:$A$1001,"Overdue")&gt;0,"Overdue",IF(COUNTIFS(Transactions!$E$2:$E$1001,A157,Transactions!$A$2:$A$1001,"Open")&gt;0,"Out","In")))</f>
      </c>
      <c r="I157" s="36"/>
    </row>
    <row r="158">
      <c r="A158" s="31"/>
      <c r="B158" s="31"/>
      <c r="C158" s="37">
        <f>IF(B158="","",IFERROR(INDEX('Item master'!$B$2:$B$301,MATCH(B158,'Item master'!$A$2:$A$301,0))&amp;"",""))</f>
      </c>
      <c r="D158" s="31"/>
      <c r="E158" s="32"/>
      <c r="F158" s="38">
        <f>IF(OR(A158="",E158=""),"",IF(E158&lt;TODAY(),"Overdue",IF(E158&lt;=TODAY()+14,"Due in 14 days","OK")))</f>
      </c>
      <c r="G158" s="30"/>
      <c r="H158" s="38">
        <f>IF(A158="","",IF(COUNTIFS(Transactions!$E$2:$E$1001,A158,Transactions!$A$2:$A$1001,"Overdue")&gt;0,"Overdue",IF(COUNTIFS(Transactions!$E$2:$E$1001,A158,Transactions!$A$2:$A$1001,"Open")&gt;0,"Out","In")))</f>
      </c>
      <c r="I158" s="36"/>
    </row>
    <row r="159">
      <c r="A159" s="31"/>
      <c r="B159" s="31"/>
      <c r="C159" s="37">
        <f>IF(B159="","",IFERROR(INDEX('Item master'!$B$2:$B$301,MATCH(B159,'Item master'!$A$2:$A$301,0))&amp;"",""))</f>
      </c>
      <c r="D159" s="31"/>
      <c r="E159" s="32"/>
      <c r="F159" s="38">
        <f>IF(OR(A159="",E159=""),"",IF(E159&lt;TODAY(),"Overdue",IF(E159&lt;=TODAY()+14,"Due in 14 days","OK")))</f>
      </c>
      <c r="G159" s="30"/>
      <c r="H159" s="38">
        <f>IF(A159="","",IF(COUNTIFS(Transactions!$E$2:$E$1001,A159,Transactions!$A$2:$A$1001,"Overdue")&gt;0,"Overdue",IF(COUNTIFS(Transactions!$E$2:$E$1001,A159,Transactions!$A$2:$A$1001,"Open")&gt;0,"Out","In")))</f>
      </c>
      <c r="I159" s="36"/>
    </row>
    <row r="160">
      <c r="A160" s="31"/>
      <c r="B160" s="31"/>
      <c r="C160" s="37">
        <f>IF(B160="","",IFERROR(INDEX('Item master'!$B$2:$B$301,MATCH(B160,'Item master'!$A$2:$A$301,0))&amp;"",""))</f>
      </c>
      <c r="D160" s="31"/>
      <c r="E160" s="32"/>
      <c r="F160" s="38">
        <f>IF(OR(A160="",E160=""),"",IF(E160&lt;TODAY(),"Overdue",IF(E160&lt;=TODAY()+14,"Due in 14 days","OK")))</f>
      </c>
      <c r="G160" s="30"/>
      <c r="H160" s="38">
        <f>IF(A160="","",IF(COUNTIFS(Transactions!$E$2:$E$1001,A160,Transactions!$A$2:$A$1001,"Overdue")&gt;0,"Overdue",IF(COUNTIFS(Transactions!$E$2:$E$1001,A160,Transactions!$A$2:$A$1001,"Open")&gt;0,"Out","In")))</f>
      </c>
      <c r="I160" s="36"/>
    </row>
    <row r="161">
      <c r="A161" s="31"/>
      <c r="B161" s="31"/>
      <c r="C161" s="37">
        <f>IF(B161="","",IFERROR(INDEX('Item master'!$B$2:$B$301,MATCH(B161,'Item master'!$A$2:$A$301,0))&amp;"",""))</f>
      </c>
      <c r="D161" s="31"/>
      <c r="E161" s="32"/>
      <c r="F161" s="38">
        <f>IF(OR(A161="",E161=""),"",IF(E161&lt;TODAY(),"Overdue",IF(E161&lt;=TODAY()+14,"Due in 14 days","OK")))</f>
      </c>
      <c r="G161" s="30"/>
      <c r="H161" s="38">
        <f>IF(A161="","",IF(COUNTIFS(Transactions!$E$2:$E$1001,A161,Transactions!$A$2:$A$1001,"Overdue")&gt;0,"Overdue",IF(COUNTIFS(Transactions!$E$2:$E$1001,A161,Transactions!$A$2:$A$1001,"Open")&gt;0,"Out","In")))</f>
      </c>
      <c r="I161" s="36"/>
    </row>
    <row r="162">
      <c r="A162" s="31"/>
      <c r="B162" s="31"/>
      <c r="C162" s="37">
        <f>IF(B162="","",IFERROR(INDEX('Item master'!$B$2:$B$301,MATCH(B162,'Item master'!$A$2:$A$301,0))&amp;"",""))</f>
      </c>
      <c r="D162" s="31"/>
      <c r="E162" s="32"/>
      <c r="F162" s="38">
        <f>IF(OR(A162="",E162=""),"",IF(E162&lt;TODAY(),"Overdue",IF(E162&lt;=TODAY()+14,"Due in 14 days","OK")))</f>
      </c>
      <c r="G162" s="30"/>
      <c r="H162" s="38">
        <f>IF(A162="","",IF(COUNTIFS(Transactions!$E$2:$E$1001,A162,Transactions!$A$2:$A$1001,"Overdue")&gt;0,"Overdue",IF(COUNTIFS(Transactions!$E$2:$E$1001,A162,Transactions!$A$2:$A$1001,"Open")&gt;0,"Out","In")))</f>
      </c>
      <c r="I162" s="36"/>
    </row>
    <row r="163">
      <c r="A163" s="31"/>
      <c r="B163" s="31"/>
      <c r="C163" s="37">
        <f>IF(B163="","",IFERROR(INDEX('Item master'!$B$2:$B$301,MATCH(B163,'Item master'!$A$2:$A$301,0))&amp;"",""))</f>
      </c>
      <c r="D163" s="31"/>
      <c r="E163" s="32"/>
      <c r="F163" s="38">
        <f>IF(OR(A163="",E163=""),"",IF(E163&lt;TODAY(),"Overdue",IF(E163&lt;=TODAY()+14,"Due in 14 days","OK")))</f>
      </c>
      <c r="G163" s="30"/>
      <c r="H163" s="38">
        <f>IF(A163="","",IF(COUNTIFS(Transactions!$E$2:$E$1001,A163,Transactions!$A$2:$A$1001,"Overdue")&gt;0,"Overdue",IF(COUNTIFS(Transactions!$E$2:$E$1001,A163,Transactions!$A$2:$A$1001,"Open")&gt;0,"Out","In")))</f>
      </c>
      <c r="I163" s="36"/>
    </row>
    <row r="164">
      <c r="A164" s="31"/>
      <c r="B164" s="31"/>
      <c r="C164" s="37">
        <f>IF(B164="","",IFERROR(INDEX('Item master'!$B$2:$B$301,MATCH(B164,'Item master'!$A$2:$A$301,0))&amp;"",""))</f>
      </c>
      <c r="D164" s="31"/>
      <c r="E164" s="32"/>
      <c r="F164" s="38">
        <f>IF(OR(A164="",E164=""),"",IF(E164&lt;TODAY(),"Overdue",IF(E164&lt;=TODAY()+14,"Due in 14 days","OK")))</f>
      </c>
      <c r="G164" s="30"/>
      <c r="H164" s="38">
        <f>IF(A164="","",IF(COUNTIFS(Transactions!$E$2:$E$1001,A164,Transactions!$A$2:$A$1001,"Overdue")&gt;0,"Overdue",IF(COUNTIFS(Transactions!$E$2:$E$1001,A164,Transactions!$A$2:$A$1001,"Open")&gt;0,"Out","In")))</f>
      </c>
      <c r="I164" s="36"/>
    </row>
    <row r="165">
      <c r="A165" s="31"/>
      <c r="B165" s="31"/>
      <c r="C165" s="37">
        <f>IF(B165="","",IFERROR(INDEX('Item master'!$B$2:$B$301,MATCH(B165,'Item master'!$A$2:$A$301,0))&amp;"",""))</f>
      </c>
      <c r="D165" s="31"/>
      <c r="E165" s="32"/>
      <c r="F165" s="38">
        <f>IF(OR(A165="",E165=""),"",IF(E165&lt;TODAY(),"Overdue",IF(E165&lt;=TODAY()+14,"Due in 14 days","OK")))</f>
      </c>
      <c r="G165" s="30"/>
      <c r="H165" s="38">
        <f>IF(A165="","",IF(COUNTIFS(Transactions!$E$2:$E$1001,A165,Transactions!$A$2:$A$1001,"Overdue")&gt;0,"Overdue",IF(COUNTIFS(Transactions!$E$2:$E$1001,A165,Transactions!$A$2:$A$1001,"Open")&gt;0,"Out","In")))</f>
      </c>
      <c r="I165" s="36"/>
    </row>
    <row r="166">
      <c r="A166" s="31"/>
      <c r="B166" s="31"/>
      <c r="C166" s="37">
        <f>IF(B166="","",IFERROR(INDEX('Item master'!$B$2:$B$301,MATCH(B166,'Item master'!$A$2:$A$301,0))&amp;"",""))</f>
      </c>
      <c r="D166" s="31"/>
      <c r="E166" s="32"/>
      <c r="F166" s="38">
        <f>IF(OR(A166="",E166=""),"",IF(E166&lt;TODAY(),"Overdue",IF(E166&lt;=TODAY()+14,"Due in 14 days","OK")))</f>
      </c>
      <c r="G166" s="30"/>
      <c r="H166" s="38">
        <f>IF(A166="","",IF(COUNTIFS(Transactions!$E$2:$E$1001,A166,Transactions!$A$2:$A$1001,"Overdue")&gt;0,"Overdue",IF(COUNTIFS(Transactions!$E$2:$E$1001,A166,Transactions!$A$2:$A$1001,"Open")&gt;0,"Out","In")))</f>
      </c>
      <c r="I166" s="36"/>
    </row>
    <row r="167">
      <c r="A167" s="31"/>
      <c r="B167" s="31"/>
      <c r="C167" s="37">
        <f>IF(B167="","",IFERROR(INDEX('Item master'!$B$2:$B$301,MATCH(B167,'Item master'!$A$2:$A$301,0))&amp;"",""))</f>
      </c>
      <c r="D167" s="31"/>
      <c r="E167" s="32"/>
      <c r="F167" s="38">
        <f>IF(OR(A167="",E167=""),"",IF(E167&lt;TODAY(),"Overdue",IF(E167&lt;=TODAY()+14,"Due in 14 days","OK")))</f>
      </c>
      <c r="G167" s="30"/>
      <c r="H167" s="38">
        <f>IF(A167="","",IF(COUNTIFS(Transactions!$E$2:$E$1001,A167,Transactions!$A$2:$A$1001,"Overdue")&gt;0,"Overdue",IF(COUNTIFS(Transactions!$E$2:$E$1001,A167,Transactions!$A$2:$A$1001,"Open")&gt;0,"Out","In")))</f>
      </c>
      <c r="I167" s="36"/>
    </row>
    <row r="168">
      <c r="A168" s="31"/>
      <c r="B168" s="31"/>
      <c r="C168" s="37">
        <f>IF(B168="","",IFERROR(INDEX('Item master'!$B$2:$B$301,MATCH(B168,'Item master'!$A$2:$A$301,0))&amp;"",""))</f>
      </c>
      <c r="D168" s="31"/>
      <c r="E168" s="32"/>
      <c r="F168" s="38">
        <f>IF(OR(A168="",E168=""),"",IF(E168&lt;TODAY(),"Overdue",IF(E168&lt;=TODAY()+14,"Due in 14 days","OK")))</f>
      </c>
      <c r="G168" s="30"/>
      <c r="H168" s="38">
        <f>IF(A168="","",IF(COUNTIFS(Transactions!$E$2:$E$1001,A168,Transactions!$A$2:$A$1001,"Overdue")&gt;0,"Overdue",IF(COUNTIFS(Transactions!$E$2:$E$1001,A168,Transactions!$A$2:$A$1001,"Open")&gt;0,"Out","In")))</f>
      </c>
      <c r="I168" s="36"/>
    </row>
    <row r="169">
      <c r="A169" s="31"/>
      <c r="B169" s="31"/>
      <c r="C169" s="37">
        <f>IF(B169="","",IFERROR(INDEX('Item master'!$B$2:$B$301,MATCH(B169,'Item master'!$A$2:$A$301,0))&amp;"",""))</f>
      </c>
      <c r="D169" s="31"/>
      <c r="E169" s="32"/>
      <c r="F169" s="38">
        <f>IF(OR(A169="",E169=""),"",IF(E169&lt;TODAY(),"Overdue",IF(E169&lt;=TODAY()+14,"Due in 14 days","OK")))</f>
      </c>
      <c r="G169" s="30"/>
      <c r="H169" s="38">
        <f>IF(A169="","",IF(COUNTIFS(Transactions!$E$2:$E$1001,A169,Transactions!$A$2:$A$1001,"Overdue")&gt;0,"Overdue",IF(COUNTIFS(Transactions!$E$2:$E$1001,A169,Transactions!$A$2:$A$1001,"Open")&gt;0,"Out","In")))</f>
      </c>
      <c r="I169" s="36"/>
    </row>
    <row r="170">
      <c r="A170" s="31"/>
      <c r="B170" s="31"/>
      <c r="C170" s="37">
        <f>IF(B170="","",IFERROR(INDEX('Item master'!$B$2:$B$301,MATCH(B170,'Item master'!$A$2:$A$301,0))&amp;"",""))</f>
      </c>
      <c r="D170" s="31"/>
      <c r="E170" s="32"/>
      <c r="F170" s="38">
        <f>IF(OR(A170="",E170=""),"",IF(E170&lt;TODAY(),"Overdue",IF(E170&lt;=TODAY()+14,"Due in 14 days","OK")))</f>
      </c>
      <c r="G170" s="30"/>
      <c r="H170" s="38">
        <f>IF(A170="","",IF(COUNTIFS(Transactions!$E$2:$E$1001,A170,Transactions!$A$2:$A$1001,"Overdue")&gt;0,"Overdue",IF(COUNTIFS(Transactions!$E$2:$E$1001,A170,Transactions!$A$2:$A$1001,"Open")&gt;0,"Out","In")))</f>
      </c>
      <c r="I170" s="36"/>
    </row>
    <row r="171">
      <c r="A171" s="31"/>
      <c r="B171" s="31"/>
      <c r="C171" s="37">
        <f>IF(B171="","",IFERROR(INDEX('Item master'!$B$2:$B$301,MATCH(B171,'Item master'!$A$2:$A$301,0))&amp;"",""))</f>
      </c>
      <c r="D171" s="31"/>
      <c r="E171" s="32"/>
      <c r="F171" s="38">
        <f>IF(OR(A171="",E171=""),"",IF(E171&lt;TODAY(),"Overdue",IF(E171&lt;=TODAY()+14,"Due in 14 days","OK")))</f>
      </c>
      <c r="G171" s="30"/>
      <c r="H171" s="38">
        <f>IF(A171="","",IF(COUNTIFS(Transactions!$E$2:$E$1001,A171,Transactions!$A$2:$A$1001,"Overdue")&gt;0,"Overdue",IF(COUNTIFS(Transactions!$E$2:$E$1001,A171,Transactions!$A$2:$A$1001,"Open")&gt;0,"Out","In")))</f>
      </c>
      <c r="I171" s="36"/>
    </row>
    <row r="172">
      <c r="A172" s="31"/>
      <c r="B172" s="31"/>
      <c r="C172" s="37">
        <f>IF(B172="","",IFERROR(INDEX('Item master'!$B$2:$B$301,MATCH(B172,'Item master'!$A$2:$A$301,0))&amp;"",""))</f>
      </c>
      <c r="D172" s="31"/>
      <c r="E172" s="32"/>
      <c r="F172" s="38">
        <f>IF(OR(A172="",E172=""),"",IF(E172&lt;TODAY(),"Overdue",IF(E172&lt;=TODAY()+14,"Due in 14 days","OK")))</f>
      </c>
      <c r="G172" s="30"/>
      <c r="H172" s="38">
        <f>IF(A172="","",IF(COUNTIFS(Transactions!$E$2:$E$1001,A172,Transactions!$A$2:$A$1001,"Overdue")&gt;0,"Overdue",IF(COUNTIFS(Transactions!$E$2:$E$1001,A172,Transactions!$A$2:$A$1001,"Open")&gt;0,"Out","In")))</f>
      </c>
      <c r="I172" s="36"/>
    </row>
    <row r="173">
      <c r="A173" s="31"/>
      <c r="B173" s="31"/>
      <c r="C173" s="37">
        <f>IF(B173="","",IFERROR(INDEX('Item master'!$B$2:$B$301,MATCH(B173,'Item master'!$A$2:$A$301,0))&amp;"",""))</f>
      </c>
      <c r="D173" s="31"/>
      <c r="E173" s="32"/>
      <c r="F173" s="38">
        <f>IF(OR(A173="",E173=""),"",IF(E173&lt;TODAY(),"Overdue",IF(E173&lt;=TODAY()+14,"Due in 14 days","OK")))</f>
      </c>
      <c r="G173" s="30"/>
      <c r="H173" s="38">
        <f>IF(A173="","",IF(COUNTIFS(Transactions!$E$2:$E$1001,A173,Transactions!$A$2:$A$1001,"Overdue")&gt;0,"Overdue",IF(COUNTIFS(Transactions!$E$2:$E$1001,A173,Transactions!$A$2:$A$1001,"Open")&gt;0,"Out","In")))</f>
      </c>
      <c r="I173" s="36"/>
    </row>
    <row r="174">
      <c r="A174" s="31"/>
      <c r="B174" s="31"/>
      <c r="C174" s="37">
        <f>IF(B174="","",IFERROR(INDEX('Item master'!$B$2:$B$301,MATCH(B174,'Item master'!$A$2:$A$301,0))&amp;"",""))</f>
      </c>
      <c r="D174" s="31"/>
      <c r="E174" s="32"/>
      <c r="F174" s="38">
        <f>IF(OR(A174="",E174=""),"",IF(E174&lt;TODAY(),"Overdue",IF(E174&lt;=TODAY()+14,"Due in 14 days","OK")))</f>
      </c>
      <c r="G174" s="30"/>
      <c r="H174" s="38">
        <f>IF(A174="","",IF(COUNTIFS(Transactions!$E$2:$E$1001,A174,Transactions!$A$2:$A$1001,"Overdue")&gt;0,"Overdue",IF(COUNTIFS(Transactions!$E$2:$E$1001,A174,Transactions!$A$2:$A$1001,"Open")&gt;0,"Out","In")))</f>
      </c>
      <c r="I174" s="36"/>
    </row>
    <row r="175">
      <c r="A175" s="31"/>
      <c r="B175" s="31"/>
      <c r="C175" s="37">
        <f>IF(B175="","",IFERROR(INDEX('Item master'!$B$2:$B$301,MATCH(B175,'Item master'!$A$2:$A$301,0))&amp;"",""))</f>
      </c>
      <c r="D175" s="31"/>
      <c r="E175" s="32"/>
      <c r="F175" s="38">
        <f>IF(OR(A175="",E175=""),"",IF(E175&lt;TODAY(),"Overdue",IF(E175&lt;=TODAY()+14,"Due in 14 days","OK")))</f>
      </c>
      <c r="G175" s="30"/>
      <c r="H175" s="38">
        <f>IF(A175="","",IF(COUNTIFS(Transactions!$E$2:$E$1001,A175,Transactions!$A$2:$A$1001,"Overdue")&gt;0,"Overdue",IF(COUNTIFS(Transactions!$E$2:$E$1001,A175,Transactions!$A$2:$A$1001,"Open")&gt;0,"Out","In")))</f>
      </c>
      <c r="I175" s="36"/>
    </row>
    <row r="176">
      <c r="A176" s="31"/>
      <c r="B176" s="31"/>
      <c r="C176" s="37">
        <f>IF(B176="","",IFERROR(INDEX('Item master'!$B$2:$B$301,MATCH(B176,'Item master'!$A$2:$A$301,0))&amp;"",""))</f>
      </c>
      <c r="D176" s="31"/>
      <c r="E176" s="32"/>
      <c r="F176" s="38">
        <f>IF(OR(A176="",E176=""),"",IF(E176&lt;TODAY(),"Overdue",IF(E176&lt;=TODAY()+14,"Due in 14 days","OK")))</f>
      </c>
      <c r="G176" s="30"/>
      <c r="H176" s="38">
        <f>IF(A176="","",IF(COUNTIFS(Transactions!$E$2:$E$1001,A176,Transactions!$A$2:$A$1001,"Overdue")&gt;0,"Overdue",IF(COUNTIFS(Transactions!$E$2:$E$1001,A176,Transactions!$A$2:$A$1001,"Open")&gt;0,"Out","In")))</f>
      </c>
      <c r="I176" s="36"/>
    </row>
    <row r="177">
      <c r="A177" s="31"/>
      <c r="B177" s="31"/>
      <c r="C177" s="37">
        <f>IF(B177="","",IFERROR(INDEX('Item master'!$B$2:$B$301,MATCH(B177,'Item master'!$A$2:$A$301,0))&amp;"",""))</f>
      </c>
      <c r="D177" s="31"/>
      <c r="E177" s="32"/>
      <c r="F177" s="38">
        <f>IF(OR(A177="",E177=""),"",IF(E177&lt;TODAY(),"Overdue",IF(E177&lt;=TODAY()+14,"Due in 14 days","OK")))</f>
      </c>
      <c r="G177" s="30"/>
      <c r="H177" s="38">
        <f>IF(A177="","",IF(COUNTIFS(Transactions!$E$2:$E$1001,A177,Transactions!$A$2:$A$1001,"Overdue")&gt;0,"Overdue",IF(COUNTIFS(Transactions!$E$2:$E$1001,A177,Transactions!$A$2:$A$1001,"Open")&gt;0,"Out","In")))</f>
      </c>
      <c r="I177" s="36"/>
    </row>
    <row r="178">
      <c r="A178" s="31"/>
      <c r="B178" s="31"/>
      <c r="C178" s="37">
        <f>IF(B178="","",IFERROR(INDEX('Item master'!$B$2:$B$301,MATCH(B178,'Item master'!$A$2:$A$301,0))&amp;"",""))</f>
      </c>
      <c r="D178" s="31"/>
      <c r="E178" s="32"/>
      <c r="F178" s="38">
        <f>IF(OR(A178="",E178=""),"",IF(E178&lt;TODAY(),"Overdue",IF(E178&lt;=TODAY()+14,"Due in 14 days","OK")))</f>
      </c>
      <c r="G178" s="30"/>
      <c r="H178" s="38">
        <f>IF(A178="","",IF(COUNTIFS(Transactions!$E$2:$E$1001,A178,Transactions!$A$2:$A$1001,"Overdue")&gt;0,"Overdue",IF(COUNTIFS(Transactions!$E$2:$E$1001,A178,Transactions!$A$2:$A$1001,"Open")&gt;0,"Out","In")))</f>
      </c>
      <c r="I178" s="36"/>
    </row>
    <row r="179">
      <c r="A179" s="31"/>
      <c r="B179" s="31"/>
      <c r="C179" s="37">
        <f>IF(B179="","",IFERROR(INDEX('Item master'!$B$2:$B$301,MATCH(B179,'Item master'!$A$2:$A$301,0))&amp;"",""))</f>
      </c>
      <c r="D179" s="31"/>
      <c r="E179" s="32"/>
      <c r="F179" s="38">
        <f>IF(OR(A179="",E179=""),"",IF(E179&lt;TODAY(),"Overdue",IF(E179&lt;=TODAY()+14,"Due in 14 days","OK")))</f>
      </c>
      <c r="G179" s="30"/>
      <c r="H179" s="38">
        <f>IF(A179="","",IF(COUNTIFS(Transactions!$E$2:$E$1001,A179,Transactions!$A$2:$A$1001,"Overdue")&gt;0,"Overdue",IF(COUNTIFS(Transactions!$E$2:$E$1001,A179,Transactions!$A$2:$A$1001,"Open")&gt;0,"Out","In")))</f>
      </c>
      <c r="I179" s="36"/>
    </row>
    <row r="180">
      <c r="A180" s="31"/>
      <c r="B180" s="31"/>
      <c r="C180" s="37">
        <f>IF(B180="","",IFERROR(INDEX('Item master'!$B$2:$B$301,MATCH(B180,'Item master'!$A$2:$A$301,0))&amp;"",""))</f>
      </c>
      <c r="D180" s="31"/>
      <c r="E180" s="32"/>
      <c r="F180" s="38">
        <f>IF(OR(A180="",E180=""),"",IF(E180&lt;TODAY(),"Overdue",IF(E180&lt;=TODAY()+14,"Due in 14 days","OK")))</f>
      </c>
      <c r="G180" s="30"/>
      <c r="H180" s="38">
        <f>IF(A180="","",IF(COUNTIFS(Transactions!$E$2:$E$1001,A180,Transactions!$A$2:$A$1001,"Overdue")&gt;0,"Overdue",IF(COUNTIFS(Transactions!$E$2:$E$1001,A180,Transactions!$A$2:$A$1001,"Open")&gt;0,"Out","In")))</f>
      </c>
      <c r="I180" s="36"/>
    </row>
    <row r="181">
      <c r="A181" s="31"/>
      <c r="B181" s="31"/>
      <c r="C181" s="37">
        <f>IF(B181="","",IFERROR(INDEX('Item master'!$B$2:$B$301,MATCH(B181,'Item master'!$A$2:$A$301,0))&amp;"",""))</f>
      </c>
      <c r="D181" s="31"/>
      <c r="E181" s="32"/>
      <c r="F181" s="38">
        <f>IF(OR(A181="",E181=""),"",IF(E181&lt;TODAY(),"Overdue",IF(E181&lt;=TODAY()+14,"Due in 14 days","OK")))</f>
      </c>
      <c r="G181" s="30"/>
      <c r="H181" s="38">
        <f>IF(A181="","",IF(COUNTIFS(Transactions!$E$2:$E$1001,A181,Transactions!$A$2:$A$1001,"Overdue")&gt;0,"Overdue",IF(COUNTIFS(Transactions!$E$2:$E$1001,A181,Transactions!$A$2:$A$1001,"Open")&gt;0,"Out","In")))</f>
      </c>
      <c r="I181" s="36"/>
    </row>
    <row r="182">
      <c r="A182" s="31"/>
      <c r="B182" s="31"/>
      <c r="C182" s="37">
        <f>IF(B182="","",IFERROR(INDEX('Item master'!$B$2:$B$301,MATCH(B182,'Item master'!$A$2:$A$301,0))&amp;"",""))</f>
      </c>
      <c r="D182" s="31"/>
      <c r="E182" s="32"/>
      <c r="F182" s="38">
        <f>IF(OR(A182="",E182=""),"",IF(E182&lt;TODAY(),"Overdue",IF(E182&lt;=TODAY()+14,"Due in 14 days","OK")))</f>
      </c>
      <c r="G182" s="30"/>
      <c r="H182" s="38">
        <f>IF(A182="","",IF(COUNTIFS(Transactions!$E$2:$E$1001,A182,Transactions!$A$2:$A$1001,"Overdue")&gt;0,"Overdue",IF(COUNTIFS(Transactions!$E$2:$E$1001,A182,Transactions!$A$2:$A$1001,"Open")&gt;0,"Out","In")))</f>
      </c>
      <c r="I182" s="36"/>
    </row>
    <row r="183">
      <c r="A183" s="31"/>
      <c r="B183" s="31"/>
      <c r="C183" s="37">
        <f>IF(B183="","",IFERROR(INDEX('Item master'!$B$2:$B$301,MATCH(B183,'Item master'!$A$2:$A$301,0))&amp;"",""))</f>
      </c>
      <c r="D183" s="31"/>
      <c r="E183" s="32"/>
      <c r="F183" s="38">
        <f>IF(OR(A183="",E183=""),"",IF(E183&lt;TODAY(),"Overdue",IF(E183&lt;=TODAY()+14,"Due in 14 days","OK")))</f>
      </c>
      <c r="G183" s="30"/>
      <c r="H183" s="38">
        <f>IF(A183="","",IF(COUNTIFS(Transactions!$E$2:$E$1001,A183,Transactions!$A$2:$A$1001,"Overdue")&gt;0,"Overdue",IF(COUNTIFS(Transactions!$E$2:$E$1001,A183,Transactions!$A$2:$A$1001,"Open")&gt;0,"Out","In")))</f>
      </c>
      <c r="I183" s="36"/>
    </row>
    <row r="184">
      <c r="A184" s="31"/>
      <c r="B184" s="31"/>
      <c r="C184" s="37">
        <f>IF(B184="","",IFERROR(INDEX('Item master'!$B$2:$B$301,MATCH(B184,'Item master'!$A$2:$A$301,0))&amp;"",""))</f>
      </c>
      <c r="D184" s="31"/>
      <c r="E184" s="32"/>
      <c r="F184" s="38">
        <f>IF(OR(A184="",E184=""),"",IF(E184&lt;TODAY(),"Overdue",IF(E184&lt;=TODAY()+14,"Due in 14 days","OK")))</f>
      </c>
      <c r="G184" s="30"/>
      <c r="H184" s="38">
        <f>IF(A184="","",IF(COUNTIFS(Transactions!$E$2:$E$1001,A184,Transactions!$A$2:$A$1001,"Overdue")&gt;0,"Overdue",IF(COUNTIFS(Transactions!$E$2:$E$1001,A184,Transactions!$A$2:$A$1001,"Open")&gt;0,"Out","In")))</f>
      </c>
      <c r="I184" s="36"/>
    </row>
    <row r="185">
      <c r="A185" s="31"/>
      <c r="B185" s="31"/>
      <c r="C185" s="37">
        <f>IF(B185="","",IFERROR(INDEX('Item master'!$B$2:$B$301,MATCH(B185,'Item master'!$A$2:$A$301,0))&amp;"",""))</f>
      </c>
      <c r="D185" s="31"/>
      <c r="E185" s="32"/>
      <c r="F185" s="38">
        <f>IF(OR(A185="",E185=""),"",IF(E185&lt;TODAY(),"Overdue",IF(E185&lt;=TODAY()+14,"Due in 14 days","OK")))</f>
      </c>
      <c r="G185" s="30"/>
      <c r="H185" s="38">
        <f>IF(A185="","",IF(COUNTIFS(Transactions!$E$2:$E$1001,A185,Transactions!$A$2:$A$1001,"Overdue")&gt;0,"Overdue",IF(COUNTIFS(Transactions!$E$2:$E$1001,A185,Transactions!$A$2:$A$1001,"Open")&gt;0,"Out","In")))</f>
      </c>
      <c r="I185" s="36"/>
    </row>
    <row r="186">
      <c r="A186" s="31"/>
      <c r="B186" s="31"/>
      <c r="C186" s="37">
        <f>IF(B186="","",IFERROR(INDEX('Item master'!$B$2:$B$301,MATCH(B186,'Item master'!$A$2:$A$301,0))&amp;"",""))</f>
      </c>
      <c r="D186" s="31"/>
      <c r="E186" s="32"/>
      <c r="F186" s="38">
        <f>IF(OR(A186="",E186=""),"",IF(E186&lt;TODAY(),"Overdue",IF(E186&lt;=TODAY()+14,"Due in 14 days","OK")))</f>
      </c>
      <c r="G186" s="30"/>
      <c r="H186" s="38">
        <f>IF(A186="","",IF(COUNTIFS(Transactions!$E$2:$E$1001,A186,Transactions!$A$2:$A$1001,"Overdue")&gt;0,"Overdue",IF(COUNTIFS(Transactions!$E$2:$E$1001,A186,Transactions!$A$2:$A$1001,"Open")&gt;0,"Out","In")))</f>
      </c>
      <c r="I186" s="36"/>
    </row>
    <row r="187">
      <c r="A187" s="31"/>
      <c r="B187" s="31"/>
      <c r="C187" s="37">
        <f>IF(B187="","",IFERROR(INDEX('Item master'!$B$2:$B$301,MATCH(B187,'Item master'!$A$2:$A$301,0))&amp;"",""))</f>
      </c>
      <c r="D187" s="31"/>
      <c r="E187" s="32"/>
      <c r="F187" s="38">
        <f>IF(OR(A187="",E187=""),"",IF(E187&lt;TODAY(),"Overdue",IF(E187&lt;=TODAY()+14,"Due in 14 days","OK")))</f>
      </c>
      <c r="G187" s="30"/>
      <c r="H187" s="38">
        <f>IF(A187="","",IF(COUNTIFS(Transactions!$E$2:$E$1001,A187,Transactions!$A$2:$A$1001,"Overdue")&gt;0,"Overdue",IF(COUNTIFS(Transactions!$E$2:$E$1001,A187,Transactions!$A$2:$A$1001,"Open")&gt;0,"Out","In")))</f>
      </c>
      <c r="I187" s="36"/>
    </row>
    <row r="188">
      <c r="A188" s="31"/>
      <c r="B188" s="31"/>
      <c r="C188" s="37">
        <f>IF(B188="","",IFERROR(INDEX('Item master'!$B$2:$B$301,MATCH(B188,'Item master'!$A$2:$A$301,0))&amp;"",""))</f>
      </c>
      <c r="D188" s="31"/>
      <c r="E188" s="32"/>
      <c r="F188" s="38">
        <f>IF(OR(A188="",E188=""),"",IF(E188&lt;TODAY(),"Overdue",IF(E188&lt;=TODAY()+14,"Due in 14 days","OK")))</f>
      </c>
      <c r="G188" s="30"/>
      <c r="H188" s="38">
        <f>IF(A188="","",IF(COUNTIFS(Transactions!$E$2:$E$1001,A188,Transactions!$A$2:$A$1001,"Overdue")&gt;0,"Overdue",IF(COUNTIFS(Transactions!$E$2:$E$1001,A188,Transactions!$A$2:$A$1001,"Open")&gt;0,"Out","In")))</f>
      </c>
      <c r="I188" s="36"/>
    </row>
    <row r="189">
      <c r="A189" s="31"/>
      <c r="B189" s="31"/>
      <c r="C189" s="37">
        <f>IF(B189="","",IFERROR(INDEX('Item master'!$B$2:$B$301,MATCH(B189,'Item master'!$A$2:$A$301,0))&amp;"",""))</f>
      </c>
      <c r="D189" s="31"/>
      <c r="E189" s="32"/>
      <c r="F189" s="38">
        <f>IF(OR(A189="",E189=""),"",IF(E189&lt;TODAY(),"Overdue",IF(E189&lt;=TODAY()+14,"Due in 14 days","OK")))</f>
      </c>
      <c r="G189" s="30"/>
      <c r="H189" s="38">
        <f>IF(A189="","",IF(COUNTIFS(Transactions!$E$2:$E$1001,A189,Transactions!$A$2:$A$1001,"Overdue")&gt;0,"Overdue",IF(COUNTIFS(Transactions!$E$2:$E$1001,A189,Transactions!$A$2:$A$1001,"Open")&gt;0,"Out","In")))</f>
      </c>
      <c r="I189" s="36"/>
    </row>
    <row r="190">
      <c r="A190" s="31"/>
      <c r="B190" s="31"/>
      <c r="C190" s="37">
        <f>IF(B190="","",IFERROR(INDEX('Item master'!$B$2:$B$301,MATCH(B190,'Item master'!$A$2:$A$301,0))&amp;"",""))</f>
      </c>
      <c r="D190" s="31"/>
      <c r="E190" s="32"/>
      <c r="F190" s="38">
        <f>IF(OR(A190="",E190=""),"",IF(E190&lt;TODAY(),"Overdue",IF(E190&lt;=TODAY()+14,"Due in 14 days","OK")))</f>
      </c>
      <c r="G190" s="30"/>
      <c r="H190" s="38">
        <f>IF(A190="","",IF(COUNTIFS(Transactions!$E$2:$E$1001,A190,Transactions!$A$2:$A$1001,"Overdue")&gt;0,"Overdue",IF(COUNTIFS(Transactions!$E$2:$E$1001,A190,Transactions!$A$2:$A$1001,"Open")&gt;0,"Out","In")))</f>
      </c>
      <c r="I190" s="36"/>
    </row>
    <row r="191">
      <c r="A191" s="31"/>
      <c r="B191" s="31"/>
      <c r="C191" s="37">
        <f>IF(B191="","",IFERROR(INDEX('Item master'!$B$2:$B$301,MATCH(B191,'Item master'!$A$2:$A$301,0))&amp;"",""))</f>
      </c>
      <c r="D191" s="31"/>
      <c r="E191" s="32"/>
      <c r="F191" s="38">
        <f>IF(OR(A191="",E191=""),"",IF(E191&lt;TODAY(),"Overdue",IF(E191&lt;=TODAY()+14,"Due in 14 days","OK")))</f>
      </c>
      <c r="G191" s="30"/>
      <c r="H191" s="38">
        <f>IF(A191="","",IF(COUNTIFS(Transactions!$E$2:$E$1001,A191,Transactions!$A$2:$A$1001,"Overdue")&gt;0,"Overdue",IF(COUNTIFS(Transactions!$E$2:$E$1001,A191,Transactions!$A$2:$A$1001,"Open")&gt;0,"Out","In")))</f>
      </c>
      <c r="I191" s="36"/>
    </row>
    <row r="192">
      <c r="A192" s="31"/>
      <c r="B192" s="31"/>
      <c r="C192" s="37">
        <f>IF(B192="","",IFERROR(INDEX('Item master'!$B$2:$B$301,MATCH(B192,'Item master'!$A$2:$A$301,0))&amp;"",""))</f>
      </c>
      <c r="D192" s="31"/>
      <c r="E192" s="32"/>
      <c r="F192" s="38">
        <f>IF(OR(A192="",E192=""),"",IF(E192&lt;TODAY(),"Overdue",IF(E192&lt;=TODAY()+14,"Due in 14 days","OK")))</f>
      </c>
      <c r="G192" s="30"/>
      <c r="H192" s="38">
        <f>IF(A192="","",IF(COUNTIFS(Transactions!$E$2:$E$1001,A192,Transactions!$A$2:$A$1001,"Overdue")&gt;0,"Overdue",IF(COUNTIFS(Transactions!$E$2:$E$1001,A192,Transactions!$A$2:$A$1001,"Open")&gt;0,"Out","In")))</f>
      </c>
      <c r="I192" s="36"/>
    </row>
    <row r="193">
      <c r="A193" s="31"/>
      <c r="B193" s="31"/>
      <c r="C193" s="37">
        <f>IF(B193="","",IFERROR(INDEX('Item master'!$B$2:$B$301,MATCH(B193,'Item master'!$A$2:$A$301,0))&amp;"",""))</f>
      </c>
      <c r="D193" s="31"/>
      <c r="E193" s="32"/>
      <c r="F193" s="38">
        <f>IF(OR(A193="",E193=""),"",IF(E193&lt;TODAY(),"Overdue",IF(E193&lt;=TODAY()+14,"Due in 14 days","OK")))</f>
      </c>
      <c r="G193" s="30"/>
      <c r="H193" s="38">
        <f>IF(A193="","",IF(COUNTIFS(Transactions!$E$2:$E$1001,A193,Transactions!$A$2:$A$1001,"Overdue")&gt;0,"Overdue",IF(COUNTIFS(Transactions!$E$2:$E$1001,A193,Transactions!$A$2:$A$1001,"Open")&gt;0,"Out","In")))</f>
      </c>
      <c r="I193" s="36"/>
    </row>
    <row r="194">
      <c r="A194" s="31"/>
      <c r="B194" s="31"/>
      <c r="C194" s="37">
        <f>IF(B194="","",IFERROR(INDEX('Item master'!$B$2:$B$301,MATCH(B194,'Item master'!$A$2:$A$301,0))&amp;"",""))</f>
      </c>
      <c r="D194" s="31"/>
      <c r="E194" s="32"/>
      <c r="F194" s="38">
        <f>IF(OR(A194="",E194=""),"",IF(E194&lt;TODAY(),"Overdue",IF(E194&lt;=TODAY()+14,"Due in 14 days","OK")))</f>
      </c>
      <c r="G194" s="30"/>
      <c r="H194" s="38">
        <f>IF(A194="","",IF(COUNTIFS(Transactions!$E$2:$E$1001,A194,Transactions!$A$2:$A$1001,"Overdue")&gt;0,"Overdue",IF(COUNTIFS(Transactions!$E$2:$E$1001,A194,Transactions!$A$2:$A$1001,"Open")&gt;0,"Out","In")))</f>
      </c>
      <c r="I194" s="36"/>
    </row>
    <row r="195">
      <c r="A195" s="31"/>
      <c r="B195" s="31"/>
      <c r="C195" s="37">
        <f>IF(B195="","",IFERROR(INDEX('Item master'!$B$2:$B$301,MATCH(B195,'Item master'!$A$2:$A$301,0))&amp;"",""))</f>
      </c>
      <c r="D195" s="31"/>
      <c r="E195" s="32"/>
      <c r="F195" s="38">
        <f>IF(OR(A195="",E195=""),"",IF(E195&lt;TODAY(),"Overdue",IF(E195&lt;=TODAY()+14,"Due in 14 days","OK")))</f>
      </c>
      <c r="G195" s="30"/>
      <c r="H195" s="38">
        <f>IF(A195="","",IF(COUNTIFS(Transactions!$E$2:$E$1001,A195,Transactions!$A$2:$A$1001,"Overdue")&gt;0,"Overdue",IF(COUNTIFS(Transactions!$E$2:$E$1001,A195,Transactions!$A$2:$A$1001,"Open")&gt;0,"Out","In")))</f>
      </c>
      <c r="I195" s="36"/>
    </row>
    <row r="196">
      <c r="A196" s="31"/>
      <c r="B196" s="31"/>
      <c r="C196" s="37">
        <f>IF(B196="","",IFERROR(INDEX('Item master'!$B$2:$B$301,MATCH(B196,'Item master'!$A$2:$A$301,0))&amp;"",""))</f>
      </c>
      <c r="D196" s="31"/>
      <c r="E196" s="32"/>
      <c r="F196" s="38">
        <f>IF(OR(A196="",E196=""),"",IF(E196&lt;TODAY(),"Overdue",IF(E196&lt;=TODAY()+14,"Due in 14 days","OK")))</f>
      </c>
      <c r="G196" s="30"/>
      <c r="H196" s="38">
        <f>IF(A196="","",IF(COUNTIFS(Transactions!$E$2:$E$1001,A196,Transactions!$A$2:$A$1001,"Overdue")&gt;0,"Overdue",IF(COUNTIFS(Transactions!$E$2:$E$1001,A196,Transactions!$A$2:$A$1001,"Open")&gt;0,"Out","In")))</f>
      </c>
      <c r="I196" s="36"/>
    </row>
    <row r="197">
      <c r="A197" s="31"/>
      <c r="B197" s="31"/>
      <c r="C197" s="37">
        <f>IF(B197="","",IFERROR(INDEX('Item master'!$B$2:$B$301,MATCH(B197,'Item master'!$A$2:$A$301,0))&amp;"",""))</f>
      </c>
      <c r="D197" s="31"/>
      <c r="E197" s="32"/>
      <c r="F197" s="38">
        <f>IF(OR(A197="",E197=""),"",IF(E197&lt;TODAY(),"Overdue",IF(E197&lt;=TODAY()+14,"Due in 14 days","OK")))</f>
      </c>
      <c r="G197" s="30"/>
      <c r="H197" s="38">
        <f>IF(A197="","",IF(COUNTIFS(Transactions!$E$2:$E$1001,A197,Transactions!$A$2:$A$1001,"Overdue")&gt;0,"Overdue",IF(COUNTIFS(Transactions!$E$2:$E$1001,A197,Transactions!$A$2:$A$1001,"Open")&gt;0,"Out","In")))</f>
      </c>
      <c r="I197" s="36"/>
    </row>
    <row r="198">
      <c r="A198" s="31"/>
      <c r="B198" s="31"/>
      <c r="C198" s="37">
        <f>IF(B198="","",IFERROR(INDEX('Item master'!$B$2:$B$301,MATCH(B198,'Item master'!$A$2:$A$301,0))&amp;"",""))</f>
      </c>
      <c r="D198" s="31"/>
      <c r="E198" s="32"/>
      <c r="F198" s="38">
        <f>IF(OR(A198="",E198=""),"",IF(E198&lt;TODAY(),"Overdue",IF(E198&lt;=TODAY()+14,"Due in 14 days","OK")))</f>
      </c>
      <c r="G198" s="30"/>
      <c r="H198" s="38">
        <f>IF(A198="","",IF(COUNTIFS(Transactions!$E$2:$E$1001,A198,Transactions!$A$2:$A$1001,"Overdue")&gt;0,"Overdue",IF(COUNTIFS(Transactions!$E$2:$E$1001,A198,Transactions!$A$2:$A$1001,"Open")&gt;0,"Out","In")))</f>
      </c>
      <c r="I198" s="36"/>
    </row>
    <row r="199">
      <c r="A199" s="31"/>
      <c r="B199" s="31"/>
      <c r="C199" s="37">
        <f>IF(B199="","",IFERROR(INDEX('Item master'!$B$2:$B$301,MATCH(B199,'Item master'!$A$2:$A$301,0))&amp;"",""))</f>
      </c>
      <c r="D199" s="31"/>
      <c r="E199" s="32"/>
      <c r="F199" s="38">
        <f>IF(OR(A199="",E199=""),"",IF(E199&lt;TODAY(),"Overdue",IF(E199&lt;=TODAY()+14,"Due in 14 days","OK")))</f>
      </c>
      <c r="G199" s="30"/>
      <c r="H199" s="38">
        <f>IF(A199="","",IF(COUNTIFS(Transactions!$E$2:$E$1001,A199,Transactions!$A$2:$A$1001,"Overdue")&gt;0,"Overdue",IF(COUNTIFS(Transactions!$E$2:$E$1001,A199,Transactions!$A$2:$A$1001,"Open")&gt;0,"Out","In")))</f>
      </c>
      <c r="I199" s="36"/>
    </row>
    <row r="200">
      <c r="A200" s="31"/>
      <c r="B200" s="31"/>
      <c r="C200" s="37">
        <f>IF(B200="","",IFERROR(INDEX('Item master'!$B$2:$B$301,MATCH(B200,'Item master'!$A$2:$A$301,0))&amp;"",""))</f>
      </c>
      <c r="D200" s="31"/>
      <c r="E200" s="32"/>
      <c r="F200" s="38">
        <f>IF(OR(A200="",E200=""),"",IF(E200&lt;TODAY(),"Overdue",IF(E200&lt;=TODAY()+14,"Due in 14 days","OK")))</f>
      </c>
      <c r="G200" s="30"/>
      <c r="H200" s="38">
        <f>IF(A200="","",IF(COUNTIFS(Transactions!$E$2:$E$1001,A200,Transactions!$A$2:$A$1001,"Overdue")&gt;0,"Overdue",IF(COUNTIFS(Transactions!$E$2:$E$1001,A200,Transactions!$A$2:$A$1001,"Open")&gt;0,"Out","In")))</f>
      </c>
      <c r="I200" s="36"/>
    </row>
    <row r="201">
      <c r="A201" s="31"/>
      <c r="B201" s="31"/>
      <c r="C201" s="37">
        <f>IF(B201="","",IFERROR(INDEX('Item master'!$B$2:$B$301,MATCH(B201,'Item master'!$A$2:$A$301,0))&amp;"",""))</f>
      </c>
      <c r="D201" s="31"/>
      <c r="E201" s="32"/>
      <c r="F201" s="38">
        <f>IF(OR(A201="",E201=""),"",IF(E201&lt;TODAY(),"Overdue",IF(E201&lt;=TODAY()+14,"Due in 14 days","OK")))</f>
      </c>
      <c r="G201" s="30"/>
      <c r="H201" s="38">
        <f>IF(A201="","",IF(COUNTIFS(Transactions!$E$2:$E$1001,A201,Transactions!$A$2:$A$1001,"Overdue")&gt;0,"Overdue",IF(COUNTIFS(Transactions!$E$2:$E$1001,A201,Transactions!$A$2:$A$1001,"Open")&gt;0,"Out","In")))</f>
      </c>
      <c r="I201" s="36"/>
    </row>
    <row r="202">
      <c r="A202" s="31"/>
      <c r="B202" s="31"/>
      <c r="C202" s="37">
        <f>IF(B202="","",IFERROR(INDEX('Item master'!$B$2:$B$301,MATCH(B202,'Item master'!$A$2:$A$301,0))&amp;"",""))</f>
      </c>
      <c r="D202" s="31"/>
      <c r="E202" s="32"/>
      <c r="F202" s="38">
        <f>IF(OR(A202="",E202=""),"",IF(E202&lt;TODAY(),"Overdue",IF(E202&lt;=TODAY()+14,"Due in 14 days","OK")))</f>
      </c>
      <c r="G202" s="30"/>
      <c r="H202" s="38">
        <f>IF(A202="","",IF(COUNTIFS(Transactions!$E$2:$E$1001,A202,Transactions!$A$2:$A$1001,"Overdue")&gt;0,"Overdue",IF(COUNTIFS(Transactions!$E$2:$E$1001,A202,Transactions!$A$2:$A$1001,"Open")&gt;0,"Out","In")))</f>
      </c>
      <c r="I202" s="36"/>
    </row>
    <row r="203">
      <c r="A203" s="31"/>
      <c r="B203" s="31"/>
      <c r="C203" s="37">
        <f>IF(B203="","",IFERROR(INDEX('Item master'!$B$2:$B$301,MATCH(B203,'Item master'!$A$2:$A$301,0))&amp;"",""))</f>
      </c>
      <c r="D203" s="31"/>
      <c r="E203" s="32"/>
      <c r="F203" s="38">
        <f>IF(OR(A203="",E203=""),"",IF(E203&lt;TODAY(),"Overdue",IF(E203&lt;=TODAY()+14,"Due in 14 days","OK")))</f>
      </c>
      <c r="G203" s="30"/>
      <c r="H203" s="38">
        <f>IF(A203="","",IF(COUNTIFS(Transactions!$E$2:$E$1001,A203,Transactions!$A$2:$A$1001,"Overdue")&gt;0,"Overdue",IF(COUNTIFS(Transactions!$E$2:$E$1001,A203,Transactions!$A$2:$A$1001,"Open")&gt;0,"Out","In")))</f>
      </c>
      <c r="I203" s="36"/>
    </row>
    <row r="204">
      <c r="A204" s="31"/>
      <c r="B204" s="31"/>
      <c r="C204" s="37">
        <f>IF(B204="","",IFERROR(INDEX('Item master'!$B$2:$B$301,MATCH(B204,'Item master'!$A$2:$A$301,0))&amp;"",""))</f>
      </c>
      <c r="D204" s="31"/>
      <c r="E204" s="32"/>
      <c r="F204" s="38">
        <f>IF(OR(A204="",E204=""),"",IF(E204&lt;TODAY(),"Overdue",IF(E204&lt;=TODAY()+14,"Due in 14 days","OK")))</f>
      </c>
      <c r="G204" s="30"/>
      <c r="H204" s="38">
        <f>IF(A204="","",IF(COUNTIFS(Transactions!$E$2:$E$1001,A204,Transactions!$A$2:$A$1001,"Overdue")&gt;0,"Overdue",IF(COUNTIFS(Transactions!$E$2:$E$1001,A204,Transactions!$A$2:$A$1001,"Open")&gt;0,"Out","In")))</f>
      </c>
      <c r="I204" s="36"/>
    </row>
    <row r="205">
      <c r="A205" s="31"/>
      <c r="B205" s="31"/>
      <c r="C205" s="37">
        <f>IF(B205="","",IFERROR(INDEX('Item master'!$B$2:$B$301,MATCH(B205,'Item master'!$A$2:$A$301,0))&amp;"",""))</f>
      </c>
      <c r="D205" s="31"/>
      <c r="E205" s="32"/>
      <c r="F205" s="38">
        <f>IF(OR(A205="",E205=""),"",IF(E205&lt;TODAY(),"Overdue",IF(E205&lt;=TODAY()+14,"Due in 14 days","OK")))</f>
      </c>
      <c r="G205" s="30"/>
      <c r="H205" s="38">
        <f>IF(A205="","",IF(COUNTIFS(Transactions!$E$2:$E$1001,A205,Transactions!$A$2:$A$1001,"Overdue")&gt;0,"Overdue",IF(COUNTIFS(Transactions!$E$2:$E$1001,A205,Transactions!$A$2:$A$1001,"Open")&gt;0,"Out","In")))</f>
      </c>
      <c r="I205" s="36"/>
    </row>
    <row r="206">
      <c r="A206" s="31"/>
      <c r="B206" s="31"/>
      <c r="C206" s="37">
        <f>IF(B206="","",IFERROR(INDEX('Item master'!$B$2:$B$301,MATCH(B206,'Item master'!$A$2:$A$301,0))&amp;"",""))</f>
      </c>
      <c r="D206" s="31"/>
      <c r="E206" s="32"/>
      <c r="F206" s="38">
        <f>IF(OR(A206="",E206=""),"",IF(E206&lt;TODAY(),"Overdue",IF(E206&lt;=TODAY()+14,"Due in 14 days","OK")))</f>
      </c>
      <c r="G206" s="30"/>
      <c r="H206" s="38">
        <f>IF(A206="","",IF(COUNTIFS(Transactions!$E$2:$E$1001,A206,Transactions!$A$2:$A$1001,"Overdue")&gt;0,"Overdue",IF(COUNTIFS(Transactions!$E$2:$E$1001,A206,Transactions!$A$2:$A$1001,"Open")&gt;0,"Out","In")))</f>
      </c>
      <c r="I206" s="36"/>
    </row>
    <row r="207">
      <c r="A207" s="31"/>
      <c r="B207" s="31"/>
      <c r="C207" s="37">
        <f>IF(B207="","",IFERROR(INDEX('Item master'!$B$2:$B$301,MATCH(B207,'Item master'!$A$2:$A$301,0))&amp;"",""))</f>
      </c>
      <c r="D207" s="31"/>
      <c r="E207" s="32"/>
      <c r="F207" s="38">
        <f>IF(OR(A207="",E207=""),"",IF(E207&lt;TODAY(),"Overdue",IF(E207&lt;=TODAY()+14,"Due in 14 days","OK")))</f>
      </c>
      <c r="G207" s="30"/>
      <c r="H207" s="38">
        <f>IF(A207="","",IF(COUNTIFS(Transactions!$E$2:$E$1001,A207,Transactions!$A$2:$A$1001,"Overdue")&gt;0,"Overdue",IF(COUNTIFS(Transactions!$E$2:$E$1001,A207,Transactions!$A$2:$A$1001,"Open")&gt;0,"Out","In")))</f>
      </c>
      <c r="I207" s="36"/>
    </row>
    <row r="208">
      <c r="A208" s="31"/>
      <c r="B208" s="31"/>
      <c r="C208" s="37">
        <f>IF(B208="","",IFERROR(INDEX('Item master'!$B$2:$B$301,MATCH(B208,'Item master'!$A$2:$A$301,0))&amp;"",""))</f>
      </c>
      <c r="D208" s="31"/>
      <c r="E208" s="32"/>
      <c r="F208" s="38">
        <f>IF(OR(A208="",E208=""),"",IF(E208&lt;TODAY(),"Overdue",IF(E208&lt;=TODAY()+14,"Due in 14 days","OK")))</f>
      </c>
      <c r="G208" s="30"/>
      <c r="H208" s="38">
        <f>IF(A208="","",IF(COUNTIFS(Transactions!$E$2:$E$1001,A208,Transactions!$A$2:$A$1001,"Overdue")&gt;0,"Overdue",IF(COUNTIFS(Transactions!$E$2:$E$1001,A208,Transactions!$A$2:$A$1001,"Open")&gt;0,"Out","In")))</f>
      </c>
      <c r="I208" s="36"/>
    </row>
    <row r="209">
      <c r="A209" s="31"/>
      <c r="B209" s="31"/>
      <c r="C209" s="37">
        <f>IF(B209="","",IFERROR(INDEX('Item master'!$B$2:$B$301,MATCH(B209,'Item master'!$A$2:$A$301,0))&amp;"",""))</f>
      </c>
      <c r="D209" s="31"/>
      <c r="E209" s="32"/>
      <c r="F209" s="38">
        <f>IF(OR(A209="",E209=""),"",IF(E209&lt;TODAY(),"Overdue",IF(E209&lt;=TODAY()+14,"Due in 14 days","OK")))</f>
      </c>
      <c r="G209" s="30"/>
      <c r="H209" s="38">
        <f>IF(A209="","",IF(COUNTIFS(Transactions!$E$2:$E$1001,A209,Transactions!$A$2:$A$1001,"Overdue")&gt;0,"Overdue",IF(COUNTIFS(Transactions!$E$2:$E$1001,A209,Transactions!$A$2:$A$1001,"Open")&gt;0,"Out","In")))</f>
      </c>
      <c r="I209" s="36"/>
    </row>
    <row r="210">
      <c r="A210" s="31"/>
      <c r="B210" s="31"/>
      <c r="C210" s="37">
        <f>IF(B210="","",IFERROR(INDEX('Item master'!$B$2:$B$301,MATCH(B210,'Item master'!$A$2:$A$301,0))&amp;"",""))</f>
      </c>
      <c r="D210" s="31"/>
      <c r="E210" s="32"/>
      <c r="F210" s="38">
        <f>IF(OR(A210="",E210=""),"",IF(E210&lt;TODAY(),"Overdue",IF(E210&lt;=TODAY()+14,"Due in 14 days","OK")))</f>
      </c>
      <c r="G210" s="30"/>
      <c r="H210" s="38">
        <f>IF(A210="","",IF(COUNTIFS(Transactions!$E$2:$E$1001,A210,Transactions!$A$2:$A$1001,"Overdue")&gt;0,"Overdue",IF(COUNTIFS(Transactions!$E$2:$E$1001,A210,Transactions!$A$2:$A$1001,"Open")&gt;0,"Out","In")))</f>
      </c>
      <c r="I210" s="36"/>
    </row>
    <row r="211">
      <c r="A211" s="31"/>
      <c r="B211" s="31"/>
      <c r="C211" s="37">
        <f>IF(B211="","",IFERROR(INDEX('Item master'!$B$2:$B$301,MATCH(B211,'Item master'!$A$2:$A$301,0))&amp;"",""))</f>
      </c>
      <c r="D211" s="31"/>
      <c r="E211" s="32"/>
      <c r="F211" s="38">
        <f>IF(OR(A211="",E211=""),"",IF(E211&lt;TODAY(),"Overdue",IF(E211&lt;=TODAY()+14,"Due in 14 days","OK")))</f>
      </c>
      <c r="G211" s="30"/>
      <c r="H211" s="38">
        <f>IF(A211="","",IF(COUNTIFS(Transactions!$E$2:$E$1001,A211,Transactions!$A$2:$A$1001,"Overdue")&gt;0,"Overdue",IF(COUNTIFS(Transactions!$E$2:$E$1001,A211,Transactions!$A$2:$A$1001,"Open")&gt;0,"Out","In")))</f>
      </c>
      <c r="I211" s="36"/>
    </row>
    <row r="212">
      <c r="A212" s="31"/>
      <c r="B212" s="31"/>
      <c r="C212" s="37">
        <f>IF(B212="","",IFERROR(INDEX('Item master'!$B$2:$B$301,MATCH(B212,'Item master'!$A$2:$A$301,0))&amp;"",""))</f>
      </c>
      <c r="D212" s="31"/>
      <c r="E212" s="32"/>
      <c r="F212" s="38">
        <f>IF(OR(A212="",E212=""),"",IF(E212&lt;TODAY(),"Overdue",IF(E212&lt;=TODAY()+14,"Due in 14 days","OK")))</f>
      </c>
      <c r="G212" s="30"/>
      <c r="H212" s="38">
        <f>IF(A212="","",IF(COUNTIFS(Transactions!$E$2:$E$1001,A212,Transactions!$A$2:$A$1001,"Overdue")&gt;0,"Overdue",IF(COUNTIFS(Transactions!$E$2:$E$1001,A212,Transactions!$A$2:$A$1001,"Open")&gt;0,"Out","In")))</f>
      </c>
      <c r="I212" s="36"/>
    </row>
    <row r="213">
      <c r="A213" s="31"/>
      <c r="B213" s="31"/>
      <c r="C213" s="37">
        <f>IF(B213="","",IFERROR(INDEX('Item master'!$B$2:$B$301,MATCH(B213,'Item master'!$A$2:$A$301,0))&amp;"",""))</f>
      </c>
      <c r="D213" s="31"/>
      <c r="E213" s="32"/>
      <c r="F213" s="38">
        <f>IF(OR(A213="",E213=""),"",IF(E213&lt;TODAY(),"Overdue",IF(E213&lt;=TODAY()+14,"Due in 14 days","OK")))</f>
      </c>
      <c r="G213" s="30"/>
      <c r="H213" s="38">
        <f>IF(A213="","",IF(COUNTIFS(Transactions!$E$2:$E$1001,A213,Transactions!$A$2:$A$1001,"Overdue")&gt;0,"Overdue",IF(COUNTIFS(Transactions!$E$2:$E$1001,A213,Transactions!$A$2:$A$1001,"Open")&gt;0,"Out","In")))</f>
      </c>
      <c r="I213" s="36"/>
    </row>
    <row r="214">
      <c r="A214" s="31"/>
      <c r="B214" s="31"/>
      <c r="C214" s="37">
        <f>IF(B214="","",IFERROR(INDEX('Item master'!$B$2:$B$301,MATCH(B214,'Item master'!$A$2:$A$301,0))&amp;"",""))</f>
      </c>
      <c r="D214" s="31"/>
      <c r="E214" s="32"/>
      <c r="F214" s="38">
        <f>IF(OR(A214="",E214=""),"",IF(E214&lt;TODAY(),"Overdue",IF(E214&lt;=TODAY()+14,"Due in 14 days","OK")))</f>
      </c>
      <c r="G214" s="30"/>
      <c r="H214" s="38">
        <f>IF(A214="","",IF(COUNTIFS(Transactions!$E$2:$E$1001,A214,Transactions!$A$2:$A$1001,"Overdue")&gt;0,"Overdue",IF(COUNTIFS(Transactions!$E$2:$E$1001,A214,Transactions!$A$2:$A$1001,"Open")&gt;0,"Out","In")))</f>
      </c>
      <c r="I214" s="36"/>
    </row>
    <row r="215">
      <c r="A215" s="31"/>
      <c r="B215" s="31"/>
      <c r="C215" s="37">
        <f>IF(B215="","",IFERROR(INDEX('Item master'!$B$2:$B$301,MATCH(B215,'Item master'!$A$2:$A$301,0))&amp;"",""))</f>
      </c>
      <c r="D215" s="31"/>
      <c r="E215" s="32"/>
      <c r="F215" s="38">
        <f>IF(OR(A215="",E215=""),"",IF(E215&lt;TODAY(),"Overdue",IF(E215&lt;=TODAY()+14,"Due in 14 days","OK")))</f>
      </c>
      <c r="G215" s="30"/>
      <c r="H215" s="38">
        <f>IF(A215="","",IF(COUNTIFS(Transactions!$E$2:$E$1001,A215,Transactions!$A$2:$A$1001,"Overdue")&gt;0,"Overdue",IF(COUNTIFS(Transactions!$E$2:$E$1001,A215,Transactions!$A$2:$A$1001,"Open")&gt;0,"Out","In")))</f>
      </c>
      <c r="I215" s="36"/>
    </row>
    <row r="216">
      <c r="A216" s="31"/>
      <c r="B216" s="31"/>
      <c r="C216" s="37">
        <f>IF(B216="","",IFERROR(INDEX('Item master'!$B$2:$B$301,MATCH(B216,'Item master'!$A$2:$A$301,0))&amp;"",""))</f>
      </c>
      <c r="D216" s="31"/>
      <c r="E216" s="32"/>
      <c r="F216" s="38">
        <f>IF(OR(A216="",E216=""),"",IF(E216&lt;TODAY(),"Overdue",IF(E216&lt;=TODAY()+14,"Due in 14 days","OK")))</f>
      </c>
      <c r="G216" s="30"/>
      <c r="H216" s="38">
        <f>IF(A216="","",IF(COUNTIFS(Transactions!$E$2:$E$1001,A216,Transactions!$A$2:$A$1001,"Overdue")&gt;0,"Overdue",IF(COUNTIFS(Transactions!$E$2:$E$1001,A216,Transactions!$A$2:$A$1001,"Open")&gt;0,"Out","In")))</f>
      </c>
      <c r="I216" s="36"/>
    </row>
    <row r="217">
      <c r="A217" s="31"/>
      <c r="B217" s="31"/>
      <c r="C217" s="37">
        <f>IF(B217="","",IFERROR(INDEX('Item master'!$B$2:$B$301,MATCH(B217,'Item master'!$A$2:$A$301,0))&amp;"",""))</f>
      </c>
      <c r="D217" s="31"/>
      <c r="E217" s="32"/>
      <c r="F217" s="38">
        <f>IF(OR(A217="",E217=""),"",IF(E217&lt;TODAY(),"Overdue",IF(E217&lt;=TODAY()+14,"Due in 14 days","OK")))</f>
      </c>
      <c r="G217" s="30"/>
      <c r="H217" s="38">
        <f>IF(A217="","",IF(COUNTIFS(Transactions!$E$2:$E$1001,A217,Transactions!$A$2:$A$1001,"Overdue")&gt;0,"Overdue",IF(COUNTIFS(Transactions!$E$2:$E$1001,A217,Transactions!$A$2:$A$1001,"Open")&gt;0,"Out","In")))</f>
      </c>
      <c r="I217" s="36"/>
    </row>
    <row r="218">
      <c r="A218" s="31"/>
      <c r="B218" s="31"/>
      <c r="C218" s="37">
        <f>IF(B218="","",IFERROR(INDEX('Item master'!$B$2:$B$301,MATCH(B218,'Item master'!$A$2:$A$301,0))&amp;"",""))</f>
      </c>
      <c r="D218" s="31"/>
      <c r="E218" s="32"/>
      <c r="F218" s="38">
        <f>IF(OR(A218="",E218=""),"",IF(E218&lt;TODAY(),"Overdue",IF(E218&lt;=TODAY()+14,"Due in 14 days","OK")))</f>
      </c>
      <c r="G218" s="30"/>
      <c r="H218" s="38">
        <f>IF(A218="","",IF(COUNTIFS(Transactions!$E$2:$E$1001,A218,Transactions!$A$2:$A$1001,"Overdue")&gt;0,"Overdue",IF(COUNTIFS(Transactions!$E$2:$E$1001,A218,Transactions!$A$2:$A$1001,"Open")&gt;0,"Out","In")))</f>
      </c>
      <c r="I218" s="36"/>
    </row>
    <row r="219">
      <c r="A219" s="31"/>
      <c r="B219" s="31"/>
      <c r="C219" s="37">
        <f>IF(B219="","",IFERROR(INDEX('Item master'!$B$2:$B$301,MATCH(B219,'Item master'!$A$2:$A$301,0))&amp;"",""))</f>
      </c>
      <c r="D219" s="31"/>
      <c r="E219" s="32"/>
      <c r="F219" s="38">
        <f>IF(OR(A219="",E219=""),"",IF(E219&lt;TODAY(),"Overdue",IF(E219&lt;=TODAY()+14,"Due in 14 days","OK")))</f>
      </c>
      <c r="G219" s="30"/>
      <c r="H219" s="38">
        <f>IF(A219="","",IF(COUNTIFS(Transactions!$E$2:$E$1001,A219,Transactions!$A$2:$A$1001,"Overdue")&gt;0,"Overdue",IF(COUNTIFS(Transactions!$E$2:$E$1001,A219,Transactions!$A$2:$A$1001,"Open")&gt;0,"Out","In")))</f>
      </c>
      <c r="I219" s="36"/>
    </row>
    <row r="220">
      <c r="A220" s="31"/>
      <c r="B220" s="31"/>
      <c r="C220" s="37">
        <f>IF(B220="","",IFERROR(INDEX('Item master'!$B$2:$B$301,MATCH(B220,'Item master'!$A$2:$A$301,0))&amp;"",""))</f>
      </c>
      <c r="D220" s="31"/>
      <c r="E220" s="32"/>
      <c r="F220" s="38">
        <f>IF(OR(A220="",E220=""),"",IF(E220&lt;TODAY(),"Overdue",IF(E220&lt;=TODAY()+14,"Due in 14 days","OK")))</f>
      </c>
      <c r="G220" s="30"/>
      <c r="H220" s="38">
        <f>IF(A220="","",IF(COUNTIFS(Transactions!$E$2:$E$1001,A220,Transactions!$A$2:$A$1001,"Overdue")&gt;0,"Overdue",IF(COUNTIFS(Transactions!$E$2:$E$1001,A220,Transactions!$A$2:$A$1001,"Open")&gt;0,"Out","In")))</f>
      </c>
      <c r="I220" s="36"/>
    </row>
    <row r="221">
      <c r="A221" s="31"/>
      <c r="B221" s="31"/>
      <c r="C221" s="37">
        <f>IF(B221="","",IFERROR(INDEX('Item master'!$B$2:$B$301,MATCH(B221,'Item master'!$A$2:$A$301,0))&amp;"",""))</f>
      </c>
      <c r="D221" s="31"/>
      <c r="E221" s="32"/>
      <c r="F221" s="38">
        <f>IF(OR(A221="",E221=""),"",IF(E221&lt;TODAY(),"Overdue",IF(E221&lt;=TODAY()+14,"Due in 14 days","OK")))</f>
      </c>
      <c r="G221" s="30"/>
      <c r="H221" s="38">
        <f>IF(A221="","",IF(COUNTIFS(Transactions!$E$2:$E$1001,A221,Transactions!$A$2:$A$1001,"Overdue")&gt;0,"Overdue",IF(COUNTIFS(Transactions!$E$2:$E$1001,A221,Transactions!$A$2:$A$1001,"Open")&gt;0,"Out","In")))</f>
      </c>
      <c r="I221" s="36"/>
    </row>
    <row r="222">
      <c r="A222" s="31"/>
      <c r="B222" s="31"/>
      <c r="C222" s="37">
        <f>IF(B222="","",IFERROR(INDEX('Item master'!$B$2:$B$301,MATCH(B222,'Item master'!$A$2:$A$301,0))&amp;"",""))</f>
      </c>
      <c r="D222" s="31"/>
      <c r="E222" s="32"/>
      <c r="F222" s="38">
        <f>IF(OR(A222="",E222=""),"",IF(E222&lt;TODAY(),"Overdue",IF(E222&lt;=TODAY()+14,"Due in 14 days","OK")))</f>
      </c>
      <c r="G222" s="30"/>
      <c r="H222" s="38">
        <f>IF(A222="","",IF(COUNTIFS(Transactions!$E$2:$E$1001,A222,Transactions!$A$2:$A$1001,"Overdue")&gt;0,"Overdue",IF(COUNTIFS(Transactions!$E$2:$E$1001,A222,Transactions!$A$2:$A$1001,"Open")&gt;0,"Out","In")))</f>
      </c>
      <c r="I222" s="36"/>
    </row>
    <row r="223">
      <c r="A223" s="31"/>
      <c r="B223" s="31"/>
      <c r="C223" s="37">
        <f>IF(B223="","",IFERROR(INDEX('Item master'!$B$2:$B$301,MATCH(B223,'Item master'!$A$2:$A$301,0))&amp;"",""))</f>
      </c>
      <c r="D223" s="31"/>
      <c r="E223" s="32"/>
      <c r="F223" s="38">
        <f>IF(OR(A223="",E223=""),"",IF(E223&lt;TODAY(),"Overdue",IF(E223&lt;=TODAY()+14,"Due in 14 days","OK")))</f>
      </c>
      <c r="G223" s="30"/>
      <c r="H223" s="38">
        <f>IF(A223="","",IF(COUNTIFS(Transactions!$E$2:$E$1001,A223,Transactions!$A$2:$A$1001,"Overdue")&gt;0,"Overdue",IF(COUNTIFS(Transactions!$E$2:$E$1001,A223,Transactions!$A$2:$A$1001,"Open")&gt;0,"Out","In")))</f>
      </c>
      <c r="I223" s="36"/>
    </row>
    <row r="224">
      <c r="A224" s="31"/>
      <c r="B224" s="31"/>
      <c r="C224" s="37">
        <f>IF(B224="","",IFERROR(INDEX('Item master'!$B$2:$B$301,MATCH(B224,'Item master'!$A$2:$A$301,0))&amp;"",""))</f>
      </c>
      <c r="D224" s="31"/>
      <c r="E224" s="32"/>
      <c r="F224" s="38">
        <f>IF(OR(A224="",E224=""),"",IF(E224&lt;TODAY(),"Overdue",IF(E224&lt;=TODAY()+14,"Due in 14 days","OK")))</f>
      </c>
      <c r="G224" s="30"/>
      <c r="H224" s="38">
        <f>IF(A224="","",IF(COUNTIFS(Transactions!$E$2:$E$1001,A224,Transactions!$A$2:$A$1001,"Overdue")&gt;0,"Overdue",IF(COUNTIFS(Transactions!$E$2:$E$1001,A224,Transactions!$A$2:$A$1001,"Open")&gt;0,"Out","In")))</f>
      </c>
      <c r="I224" s="36"/>
    </row>
    <row r="225">
      <c r="A225" s="31"/>
      <c r="B225" s="31"/>
      <c r="C225" s="37">
        <f>IF(B225="","",IFERROR(INDEX('Item master'!$B$2:$B$301,MATCH(B225,'Item master'!$A$2:$A$301,0))&amp;"",""))</f>
      </c>
      <c r="D225" s="31"/>
      <c r="E225" s="32"/>
      <c r="F225" s="38">
        <f>IF(OR(A225="",E225=""),"",IF(E225&lt;TODAY(),"Overdue",IF(E225&lt;=TODAY()+14,"Due in 14 days","OK")))</f>
      </c>
      <c r="G225" s="30"/>
      <c r="H225" s="38">
        <f>IF(A225="","",IF(COUNTIFS(Transactions!$E$2:$E$1001,A225,Transactions!$A$2:$A$1001,"Overdue")&gt;0,"Overdue",IF(COUNTIFS(Transactions!$E$2:$E$1001,A225,Transactions!$A$2:$A$1001,"Open")&gt;0,"Out","In")))</f>
      </c>
      <c r="I225" s="36"/>
    </row>
    <row r="226">
      <c r="A226" s="31"/>
      <c r="B226" s="31"/>
      <c r="C226" s="37">
        <f>IF(B226="","",IFERROR(INDEX('Item master'!$B$2:$B$301,MATCH(B226,'Item master'!$A$2:$A$301,0))&amp;"",""))</f>
      </c>
      <c r="D226" s="31"/>
      <c r="E226" s="32"/>
      <c r="F226" s="38">
        <f>IF(OR(A226="",E226=""),"",IF(E226&lt;TODAY(),"Overdue",IF(E226&lt;=TODAY()+14,"Due in 14 days","OK")))</f>
      </c>
      <c r="G226" s="30"/>
      <c r="H226" s="38">
        <f>IF(A226="","",IF(COUNTIFS(Transactions!$E$2:$E$1001,A226,Transactions!$A$2:$A$1001,"Overdue")&gt;0,"Overdue",IF(COUNTIFS(Transactions!$E$2:$E$1001,A226,Transactions!$A$2:$A$1001,"Open")&gt;0,"Out","In")))</f>
      </c>
      <c r="I226" s="36"/>
    </row>
    <row r="227">
      <c r="A227" s="31"/>
      <c r="B227" s="31"/>
      <c r="C227" s="37">
        <f>IF(B227="","",IFERROR(INDEX('Item master'!$B$2:$B$301,MATCH(B227,'Item master'!$A$2:$A$301,0))&amp;"",""))</f>
      </c>
      <c r="D227" s="31"/>
      <c r="E227" s="32"/>
      <c r="F227" s="38">
        <f>IF(OR(A227="",E227=""),"",IF(E227&lt;TODAY(),"Overdue",IF(E227&lt;=TODAY()+14,"Due in 14 days","OK")))</f>
      </c>
      <c r="G227" s="30"/>
      <c r="H227" s="38">
        <f>IF(A227="","",IF(COUNTIFS(Transactions!$E$2:$E$1001,A227,Transactions!$A$2:$A$1001,"Overdue")&gt;0,"Overdue",IF(COUNTIFS(Transactions!$E$2:$E$1001,A227,Transactions!$A$2:$A$1001,"Open")&gt;0,"Out","In")))</f>
      </c>
      <c r="I227" s="36"/>
    </row>
    <row r="228">
      <c r="A228" s="31"/>
      <c r="B228" s="31"/>
      <c r="C228" s="37">
        <f>IF(B228="","",IFERROR(INDEX('Item master'!$B$2:$B$301,MATCH(B228,'Item master'!$A$2:$A$301,0))&amp;"",""))</f>
      </c>
      <c r="D228" s="31"/>
      <c r="E228" s="32"/>
      <c r="F228" s="38">
        <f>IF(OR(A228="",E228=""),"",IF(E228&lt;TODAY(),"Overdue",IF(E228&lt;=TODAY()+14,"Due in 14 days","OK")))</f>
      </c>
      <c r="G228" s="30"/>
      <c r="H228" s="38">
        <f>IF(A228="","",IF(COUNTIFS(Transactions!$E$2:$E$1001,A228,Transactions!$A$2:$A$1001,"Overdue")&gt;0,"Overdue",IF(COUNTIFS(Transactions!$E$2:$E$1001,A228,Transactions!$A$2:$A$1001,"Open")&gt;0,"Out","In")))</f>
      </c>
      <c r="I228" s="36"/>
    </row>
    <row r="229">
      <c r="A229" s="31"/>
      <c r="B229" s="31"/>
      <c r="C229" s="37">
        <f>IF(B229="","",IFERROR(INDEX('Item master'!$B$2:$B$301,MATCH(B229,'Item master'!$A$2:$A$301,0))&amp;"",""))</f>
      </c>
      <c r="D229" s="31"/>
      <c r="E229" s="32"/>
      <c r="F229" s="38">
        <f>IF(OR(A229="",E229=""),"",IF(E229&lt;TODAY(),"Overdue",IF(E229&lt;=TODAY()+14,"Due in 14 days","OK")))</f>
      </c>
      <c r="G229" s="30"/>
      <c r="H229" s="38">
        <f>IF(A229="","",IF(COUNTIFS(Transactions!$E$2:$E$1001,A229,Transactions!$A$2:$A$1001,"Overdue")&gt;0,"Overdue",IF(COUNTIFS(Transactions!$E$2:$E$1001,A229,Transactions!$A$2:$A$1001,"Open")&gt;0,"Out","In")))</f>
      </c>
      <c r="I229" s="36"/>
    </row>
    <row r="230">
      <c r="A230" s="31"/>
      <c r="B230" s="31"/>
      <c r="C230" s="37">
        <f>IF(B230="","",IFERROR(INDEX('Item master'!$B$2:$B$301,MATCH(B230,'Item master'!$A$2:$A$301,0))&amp;"",""))</f>
      </c>
      <c r="D230" s="31"/>
      <c r="E230" s="32"/>
      <c r="F230" s="38">
        <f>IF(OR(A230="",E230=""),"",IF(E230&lt;TODAY(),"Overdue",IF(E230&lt;=TODAY()+14,"Due in 14 days","OK")))</f>
      </c>
      <c r="G230" s="30"/>
      <c r="H230" s="38">
        <f>IF(A230="","",IF(COUNTIFS(Transactions!$E$2:$E$1001,A230,Transactions!$A$2:$A$1001,"Overdue")&gt;0,"Overdue",IF(COUNTIFS(Transactions!$E$2:$E$1001,A230,Transactions!$A$2:$A$1001,"Open")&gt;0,"Out","In")))</f>
      </c>
      <c r="I230" s="36"/>
    </row>
    <row r="231">
      <c r="A231" s="31"/>
      <c r="B231" s="31"/>
      <c r="C231" s="37">
        <f>IF(B231="","",IFERROR(INDEX('Item master'!$B$2:$B$301,MATCH(B231,'Item master'!$A$2:$A$301,0))&amp;"",""))</f>
      </c>
      <c r="D231" s="31"/>
      <c r="E231" s="32"/>
      <c r="F231" s="38">
        <f>IF(OR(A231="",E231=""),"",IF(E231&lt;TODAY(),"Overdue",IF(E231&lt;=TODAY()+14,"Due in 14 days","OK")))</f>
      </c>
      <c r="G231" s="30"/>
      <c r="H231" s="38">
        <f>IF(A231="","",IF(COUNTIFS(Transactions!$E$2:$E$1001,A231,Transactions!$A$2:$A$1001,"Overdue")&gt;0,"Overdue",IF(COUNTIFS(Transactions!$E$2:$E$1001,A231,Transactions!$A$2:$A$1001,"Open")&gt;0,"Out","In")))</f>
      </c>
      <c r="I231" s="36"/>
    </row>
    <row r="232">
      <c r="A232" s="31"/>
      <c r="B232" s="31"/>
      <c r="C232" s="37">
        <f>IF(B232="","",IFERROR(INDEX('Item master'!$B$2:$B$301,MATCH(B232,'Item master'!$A$2:$A$301,0))&amp;"",""))</f>
      </c>
      <c r="D232" s="31"/>
      <c r="E232" s="32"/>
      <c r="F232" s="38">
        <f>IF(OR(A232="",E232=""),"",IF(E232&lt;TODAY(),"Overdue",IF(E232&lt;=TODAY()+14,"Due in 14 days","OK")))</f>
      </c>
      <c r="G232" s="30"/>
      <c r="H232" s="38">
        <f>IF(A232="","",IF(COUNTIFS(Transactions!$E$2:$E$1001,A232,Transactions!$A$2:$A$1001,"Overdue")&gt;0,"Overdue",IF(COUNTIFS(Transactions!$E$2:$E$1001,A232,Transactions!$A$2:$A$1001,"Open")&gt;0,"Out","In")))</f>
      </c>
      <c r="I232" s="36"/>
    </row>
    <row r="233">
      <c r="A233" s="31"/>
      <c r="B233" s="31"/>
      <c r="C233" s="37">
        <f>IF(B233="","",IFERROR(INDEX('Item master'!$B$2:$B$301,MATCH(B233,'Item master'!$A$2:$A$301,0))&amp;"",""))</f>
      </c>
      <c r="D233" s="31"/>
      <c r="E233" s="32"/>
      <c r="F233" s="38">
        <f>IF(OR(A233="",E233=""),"",IF(E233&lt;TODAY(),"Overdue",IF(E233&lt;=TODAY()+14,"Due in 14 days","OK")))</f>
      </c>
      <c r="G233" s="30"/>
      <c r="H233" s="38">
        <f>IF(A233="","",IF(COUNTIFS(Transactions!$E$2:$E$1001,A233,Transactions!$A$2:$A$1001,"Overdue")&gt;0,"Overdue",IF(COUNTIFS(Transactions!$E$2:$E$1001,A233,Transactions!$A$2:$A$1001,"Open")&gt;0,"Out","In")))</f>
      </c>
      <c r="I233" s="36"/>
    </row>
    <row r="234">
      <c r="A234" s="31"/>
      <c r="B234" s="31"/>
      <c r="C234" s="37">
        <f>IF(B234="","",IFERROR(INDEX('Item master'!$B$2:$B$301,MATCH(B234,'Item master'!$A$2:$A$301,0))&amp;"",""))</f>
      </c>
      <c r="D234" s="31"/>
      <c r="E234" s="32"/>
      <c r="F234" s="38">
        <f>IF(OR(A234="",E234=""),"",IF(E234&lt;TODAY(),"Overdue",IF(E234&lt;=TODAY()+14,"Due in 14 days","OK")))</f>
      </c>
      <c r="G234" s="30"/>
      <c r="H234" s="38">
        <f>IF(A234="","",IF(COUNTIFS(Transactions!$E$2:$E$1001,A234,Transactions!$A$2:$A$1001,"Overdue")&gt;0,"Overdue",IF(COUNTIFS(Transactions!$E$2:$E$1001,A234,Transactions!$A$2:$A$1001,"Open")&gt;0,"Out","In")))</f>
      </c>
      <c r="I234" s="36"/>
    </row>
    <row r="235">
      <c r="A235" s="31"/>
      <c r="B235" s="31"/>
      <c r="C235" s="37">
        <f>IF(B235="","",IFERROR(INDEX('Item master'!$B$2:$B$301,MATCH(B235,'Item master'!$A$2:$A$301,0))&amp;"",""))</f>
      </c>
      <c r="D235" s="31"/>
      <c r="E235" s="32"/>
      <c r="F235" s="38">
        <f>IF(OR(A235="",E235=""),"",IF(E235&lt;TODAY(),"Overdue",IF(E235&lt;=TODAY()+14,"Due in 14 days","OK")))</f>
      </c>
      <c r="G235" s="30"/>
      <c r="H235" s="38">
        <f>IF(A235="","",IF(COUNTIFS(Transactions!$E$2:$E$1001,A235,Transactions!$A$2:$A$1001,"Overdue")&gt;0,"Overdue",IF(COUNTIFS(Transactions!$E$2:$E$1001,A235,Transactions!$A$2:$A$1001,"Open")&gt;0,"Out","In")))</f>
      </c>
      <c r="I235" s="36"/>
    </row>
    <row r="236">
      <c r="A236" s="31"/>
      <c r="B236" s="31"/>
      <c r="C236" s="37">
        <f>IF(B236="","",IFERROR(INDEX('Item master'!$B$2:$B$301,MATCH(B236,'Item master'!$A$2:$A$301,0))&amp;"",""))</f>
      </c>
      <c r="D236" s="31"/>
      <c r="E236" s="32"/>
      <c r="F236" s="38">
        <f>IF(OR(A236="",E236=""),"",IF(E236&lt;TODAY(),"Overdue",IF(E236&lt;=TODAY()+14,"Due in 14 days","OK")))</f>
      </c>
      <c r="G236" s="30"/>
      <c r="H236" s="38">
        <f>IF(A236="","",IF(COUNTIFS(Transactions!$E$2:$E$1001,A236,Transactions!$A$2:$A$1001,"Overdue")&gt;0,"Overdue",IF(COUNTIFS(Transactions!$E$2:$E$1001,A236,Transactions!$A$2:$A$1001,"Open")&gt;0,"Out","In")))</f>
      </c>
      <c r="I236" s="36"/>
    </row>
    <row r="237">
      <c r="A237" s="31"/>
      <c r="B237" s="31"/>
      <c r="C237" s="37">
        <f>IF(B237="","",IFERROR(INDEX('Item master'!$B$2:$B$301,MATCH(B237,'Item master'!$A$2:$A$301,0))&amp;"",""))</f>
      </c>
      <c r="D237" s="31"/>
      <c r="E237" s="32"/>
      <c r="F237" s="38">
        <f>IF(OR(A237="",E237=""),"",IF(E237&lt;TODAY(),"Overdue",IF(E237&lt;=TODAY()+14,"Due in 14 days","OK")))</f>
      </c>
      <c r="G237" s="30"/>
      <c r="H237" s="38">
        <f>IF(A237="","",IF(COUNTIFS(Transactions!$E$2:$E$1001,A237,Transactions!$A$2:$A$1001,"Overdue")&gt;0,"Overdue",IF(COUNTIFS(Transactions!$E$2:$E$1001,A237,Transactions!$A$2:$A$1001,"Open")&gt;0,"Out","In")))</f>
      </c>
      <c r="I237" s="36"/>
    </row>
    <row r="238">
      <c r="A238" s="31"/>
      <c r="B238" s="31"/>
      <c r="C238" s="37">
        <f>IF(B238="","",IFERROR(INDEX('Item master'!$B$2:$B$301,MATCH(B238,'Item master'!$A$2:$A$301,0))&amp;"",""))</f>
      </c>
      <c r="D238" s="31"/>
      <c r="E238" s="32"/>
      <c r="F238" s="38">
        <f>IF(OR(A238="",E238=""),"",IF(E238&lt;TODAY(),"Overdue",IF(E238&lt;=TODAY()+14,"Due in 14 days","OK")))</f>
      </c>
      <c r="G238" s="30"/>
      <c r="H238" s="38">
        <f>IF(A238="","",IF(COUNTIFS(Transactions!$E$2:$E$1001,A238,Transactions!$A$2:$A$1001,"Overdue")&gt;0,"Overdue",IF(COUNTIFS(Transactions!$E$2:$E$1001,A238,Transactions!$A$2:$A$1001,"Open")&gt;0,"Out","In")))</f>
      </c>
      <c r="I238" s="36"/>
    </row>
    <row r="239">
      <c r="A239" s="31"/>
      <c r="B239" s="31"/>
      <c r="C239" s="37">
        <f>IF(B239="","",IFERROR(INDEX('Item master'!$B$2:$B$301,MATCH(B239,'Item master'!$A$2:$A$301,0))&amp;"",""))</f>
      </c>
      <c r="D239" s="31"/>
      <c r="E239" s="32"/>
      <c r="F239" s="38">
        <f>IF(OR(A239="",E239=""),"",IF(E239&lt;TODAY(),"Overdue",IF(E239&lt;=TODAY()+14,"Due in 14 days","OK")))</f>
      </c>
      <c r="G239" s="30"/>
      <c r="H239" s="38">
        <f>IF(A239="","",IF(COUNTIFS(Transactions!$E$2:$E$1001,A239,Transactions!$A$2:$A$1001,"Overdue")&gt;0,"Overdue",IF(COUNTIFS(Transactions!$E$2:$E$1001,A239,Transactions!$A$2:$A$1001,"Open")&gt;0,"Out","In")))</f>
      </c>
      <c r="I239" s="36"/>
    </row>
    <row r="240">
      <c r="A240" s="31"/>
      <c r="B240" s="31"/>
      <c r="C240" s="37">
        <f>IF(B240="","",IFERROR(INDEX('Item master'!$B$2:$B$301,MATCH(B240,'Item master'!$A$2:$A$301,0))&amp;"",""))</f>
      </c>
      <c r="D240" s="31"/>
      <c r="E240" s="32"/>
      <c r="F240" s="38">
        <f>IF(OR(A240="",E240=""),"",IF(E240&lt;TODAY(),"Overdue",IF(E240&lt;=TODAY()+14,"Due in 14 days","OK")))</f>
      </c>
      <c r="G240" s="30"/>
      <c r="H240" s="38">
        <f>IF(A240="","",IF(COUNTIFS(Transactions!$E$2:$E$1001,A240,Transactions!$A$2:$A$1001,"Overdue")&gt;0,"Overdue",IF(COUNTIFS(Transactions!$E$2:$E$1001,A240,Transactions!$A$2:$A$1001,"Open")&gt;0,"Out","In")))</f>
      </c>
      <c r="I240" s="36"/>
    </row>
    <row r="241">
      <c r="A241" s="31"/>
      <c r="B241" s="31"/>
      <c r="C241" s="37">
        <f>IF(B241="","",IFERROR(INDEX('Item master'!$B$2:$B$301,MATCH(B241,'Item master'!$A$2:$A$301,0))&amp;"",""))</f>
      </c>
      <c r="D241" s="31"/>
      <c r="E241" s="32"/>
      <c r="F241" s="38">
        <f>IF(OR(A241="",E241=""),"",IF(E241&lt;TODAY(),"Overdue",IF(E241&lt;=TODAY()+14,"Due in 14 days","OK")))</f>
      </c>
      <c r="G241" s="30"/>
      <c r="H241" s="38">
        <f>IF(A241="","",IF(COUNTIFS(Transactions!$E$2:$E$1001,A241,Transactions!$A$2:$A$1001,"Overdue")&gt;0,"Overdue",IF(COUNTIFS(Transactions!$E$2:$E$1001,A241,Transactions!$A$2:$A$1001,"Open")&gt;0,"Out","In")))</f>
      </c>
      <c r="I241" s="36"/>
    </row>
    <row r="242">
      <c r="A242" s="31"/>
      <c r="B242" s="31"/>
      <c r="C242" s="37">
        <f>IF(B242="","",IFERROR(INDEX('Item master'!$B$2:$B$301,MATCH(B242,'Item master'!$A$2:$A$301,0))&amp;"",""))</f>
      </c>
      <c r="D242" s="31"/>
      <c r="E242" s="32"/>
      <c r="F242" s="38">
        <f>IF(OR(A242="",E242=""),"",IF(E242&lt;TODAY(),"Overdue",IF(E242&lt;=TODAY()+14,"Due in 14 days","OK")))</f>
      </c>
      <c r="G242" s="30"/>
      <c r="H242" s="38">
        <f>IF(A242="","",IF(COUNTIFS(Transactions!$E$2:$E$1001,A242,Transactions!$A$2:$A$1001,"Overdue")&gt;0,"Overdue",IF(COUNTIFS(Transactions!$E$2:$E$1001,A242,Transactions!$A$2:$A$1001,"Open")&gt;0,"Out","In")))</f>
      </c>
      <c r="I242" s="36"/>
    </row>
    <row r="243">
      <c r="A243" s="31"/>
      <c r="B243" s="31"/>
      <c r="C243" s="37">
        <f>IF(B243="","",IFERROR(INDEX('Item master'!$B$2:$B$301,MATCH(B243,'Item master'!$A$2:$A$301,0))&amp;"",""))</f>
      </c>
      <c r="D243" s="31"/>
      <c r="E243" s="32"/>
      <c r="F243" s="38">
        <f>IF(OR(A243="",E243=""),"",IF(E243&lt;TODAY(),"Overdue",IF(E243&lt;=TODAY()+14,"Due in 14 days","OK")))</f>
      </c>
      <c r="G243" s="30"/>
      <c r="H243" s="38">
        <f>IF(A243="","",IF(COUNTIFS(Transactions!$E$2:$E$1001,A243,Transactions!$A$2:$A$1001,"Overdue")&gt;0,"Overdue",IF(COUNTIFS(Transactions!$E$2:$E$1001,A243,Transactions!$A$2:$A$1001,"Open")&gt;0,"Out","In")))</f>
      </c>
      <c r="I243" s="36"/>
    </row>
    <row r="244">
      <c r="A244" s="31"/>
      <c r="B244" s="31"/>
      <c r="C244" s="37">
        <f>IF(B244="","",IFERROR(INDEX('Item master'!$B$2:$B$301,MATCH(B244,'Item master'!$A$2:$A$301,0))&amp;"",""))</f>
      </c>
      <c r="D244" s="31"/>
      <c r="E244" s="32"/>
      <c r="F244" s="38">
        <f>IF(OR(A244="",E244=""),"",IF(E244&lt;TODAY(),"Overdue",IF(E244&lt;=TODAY()+14,"Due in 14 days","OK")))</f>
      </c>
      <c r="G244" s="30"/>
      <c r="H244" s="38">
        <f>IF(A244="","",IF(COUNTIFS(Transactions!$E$2:$E$1001,A244,Transactions!$A$2:$A$1001,"Overdue")&gt;0,"Overdue",IF(COUNTIFS(Transactions!$E$2:$E$1001,A244,Transactions!$A$2:$A$1001,"Open")&gt;0,"Out","In")))</f>
      </c>
      <c r="I244" s="36"/>
    </row>
    <row r="245">
      <c r="A245" s="31"/>
      <c r="B245" s="31"/>
      <c r="C245" s="37">
        <f>IF(B245="","",IFERROR(INDEX('Item master'!$B$2:$B$301,MATCH(B245,'Item master'!$A$2:$A$301,0))&amp;"",""))</f>
      </c>
      <c r="D245" s="31"/>
      <c r="E245" s="32"/>
      <c r="F245" s="38">
        <f>IF(OR(A245="",E245=""),"",IF(E245&lt;TODAY(),"Overdue",IF(E245&lt;=TODAY()+14,"Due in 14 days","OK")))</f>
      </c>
      <c r="G245" s="30"/>
      <c r="H245" s="38">
        <f>IF(A245="","",IF(COUNTIFS(Transactions!$E$2:$E$1001,A245,Transactions!$A$2:$A$1001,"Overdue")&gt;0,"Overdue",IF(COUNTIFS(Transactions!$E$2:$E$1001,A245,Transactions!$A$2:$A$1001,"Open")&gt;0,"Out","In")))</f>
      </c>
      <c r="I245" s="36"/>
    </row>
    <row r="246">
      <c r="A246" s="31"/>
      <c r="B246" s="31"/>
      <c r="C246" s="37">
        <f>IF(B246="","",IFERROR(INDEX('Item master'!$B$2:$B$301,MATCH(B246,'Item master'!$A$2:$A$301,0))&amp;"",""))</f>
      </c>
      <c r="D246" s="31"/>
      <c r="E246" s="32"/>
      <c r="F246" s="38">
        <f>IF(OR(A246="",E246=""),"",IF(E246&lt;TODAY(),"Overdue",IF(E246&lt;=TODAY()+14,"Due in 14 days","OK")))</f>
      </c>
      <c r="G246" s="30"/>
      <c r="H246" s="38">
        <f>IF(A246="","",IF(COUNTIFS(Transactions!$E$2:$E$1001,A246,Transactions!$A$2:$A$1001,"Overdue")&gt;0,"Overdue",IF(COUNTIFS(Transactions!$E$2:$E$1001,A246,Transactions!$A$2:$A$1001,"Open")&gt;0,"Out","In")))</f>
      </c>
      <c r="I246" s="36"/>
    </row>
    <row r="247">
      <c r="A247" s="31"/>
      <c r="B247" s="31"/>
      <c r="C247" s="37">
        <f>IF(B247="","",IFERROR(INDEX('Item master'!$B$2:$B$301,MATCH(B247,'Item master'!$A$2:$A$301,0))&amp;"",""))</f>
      </c>
      <c r="D247" s="31"/>
      <c r="E247" s="32"/>
      <c r="F247" s="38">
        <f>IF(OR(A247="",E247=""),"",IF(E247&lt;TODAY(),"Overdue",IF(E247&lt;=TODAY()+14,"Due in 14 days","OK")))</f>
      </c>
      <c r="G247" s="30"/>
      <c r="H247" s="38">
        <f>IF(A247="","",IF(COUNTIFS(Transactions!$E$2:$E$1001,A247,Transactions!$A$2:$A$1001,"Overdue")&gt;0,"Overdue",IF(COUNTIFS(Transactions!$E$2:$E$1001,A247,Transactions!$A$2:$A$1001,"Open")&gt;0,"Out","In")))</f>
      </c>
      <c r="I247" s="36"/>
    </row>
    <row r="248">
      <c r="A248" s="31"/>
      <c r="B248" s="31"/>
      <c r="C248" s="37">
        <f>IF(B248="","",IFERROR(INDEX('Item master'!$B$2:$B$301,MATCH(B248,'Item master'!$A$2:$A$301,0))&amp;"",""))</f>
      </c>
      <c r="D248" s="31"/>
      <c r="E248" s="32"/>
      <c r="F248" s="38">
        <f>IF(OR(A248="",E248=""),"",IF(E248&lt;TODAY(),"Overdue",IF(E248&lt;=TODAY()+14,"Due in 14 days","OK")))</f>
      </c>
      <c r="G248" s="30"/>
      <c r="H248" s="38">
        <f>IF(A248="","",IF(COUNTIFS(Transactions!$E$2:$E$1001,A248,Transactions!$A$2:$A$1001,"Overdue")&gt;0,"Overdue",IF(COUNTIFS(Transactions!$E$2:$E$1001,A248,Transactions!$A$2:$A$1001,"Open")&gt;0,"Out","In")))</f>
      </c>
      <c r="I248" s="36"/>
    </row>
    <row r="249">
      <c r="A249" s="31"/>
      <c r="B249" s="31"/>
      <c r="C249" s="37">
        <f>IF(B249="","",IFERROR(INDEX('Item master'!$B$2:$B$301,MATCH(B249,'Item master'!$A$2:$A$301,0))&amp;"",""))</f>
      </c>
      <c r="D249" s="31"/>
      <c r="E249" s="32"/>
      <c r="F249" s="38">
        <f>IF(OR(A249="",E249=""),"",IF(E249&lt;TODAY(),"Overdue",IF(E249&lt;=TODAY()+14,"Due in 14 days","OK")))</f>
      </c>
      <c r="G249" s="30"/>
      <c r="H249" s="38">
        <f>IF(A249="","",IF(COUNTIFS(Transactions!$E$2:$E$1001,A249,Transactions!$A$2:$A$1001,"Overdue")&gt;0,"Overdue",IF(COUNTIFS(Transactions!$E$2:$E$1001,A249,Transactions!$A$2:$A$1001,"Open")&gt;0,"Out","In")))</f>
      </c>
      <c r="I249" s="36"/>
    </row>
    <row r="250">
      <c r="A250" s="31"/>
      <c r="B250" s="31"/>
      <c r="C250" s="37">
        <f>IF(B250="","",IFERROR(INDEX('Item master'!$B$2:$B$301,MATCH(B250,'Item master'!$A$2:$A$301,0))&amp;"",""))</f>
      </c>
      <c r="D250" s="31"/>
      <c r="E250" s="32"/>
      <c r="F250" s="38">
        <f>IF(OR(A250="",E250=""),"",IF(E250&lt;TODAY(),"Overdue",IF(E250&lt;=TODAY()+14,"Due in 14 days","OK")))</f>
      </c>
      <c r="G250" s="30"/>
      <c r="H250" s="38">
        <f>IF(A250="","",IF(COUNTIFS(Transactions!$E$2:$E$1001,A250,Transactions!$A$2:$A$1001,"Overdue")&gt;0,"Overdue",IF(COUNTIFS(Transactions!$E$2:$E$1001,A250,Transactions!$A$2:$A$1001,"Open")&gt;0,"Out","In")))</f>
      </c>
      <c r="I250" s="36"/>
    </row>
    <row r="251">
      <c r="A251" s="31"/>
      <c r="B251" s="31"/>
      <c r="C251" s="37">
        <f>IF(B251="","",IFERROR(INDEX('Item master'!$B$2:$B$301,MATCH(B251,'Item master'!$A$2:$A$301,0))&amp;"",""))</f>
      </c>
      <c r="D251" s="31"/>
      <c r="E251" s="32"/>
      <c r="F251" s="38">
        <f>IF(OR(A251="",E251=""),"",IF(E251&lt;TODAY(),"Overdue",IF(E251&lt;=TODAY()+14,"Due in 14 days","OK")))</f>
      </c>
      <c r="G251" s="30"/>
      <c r="H251" s="38">
        <f>IF(A251="","",IF(COUNTIFS(Transactions!$E$2:$E$1001,A251,Transactions!$A$2:$A$1001,"Overdue")&gt;0,"Overdue",IF(COUNTIFS(Transactions!$E$2:$E$1001,A251,Transactions!$A$2:$A$1001,"Open")&gt;0,"Out","In")))</f>
      </c>
      <c r="I251" s="36"/>
    </row>
    <row r="252">
      <c r="A252" s="31"/>
      <c r="B252" s="31"/>
      <c r="C252" s="37">
        <f>IF(B252="","",IFERROR(INDEX('Item master'!$B$2:$B$301,MATCH(B252,'Item master'!$A$2:$A$301,0))&amp;"",""))</f>
      </c>
      <c r="D252" s="31"/>
      <c r="E252" s="32"/>
      <c r="F252" s="38">
        <f>IF(OR(A252="",E252=""),"",IF(E252&lt;TODAY(),"Overdue",IF(E252&lt;=TODAY()+14,"Due in 14 days","OK")))</f>
      </c>
      <c r="G252" s="30"/>
      <c r="H252" s="38">
        <f>IF(A252="","",IF(COUNTIFS(Transactions!$E$2:$E$1001,A252,Transactions!$A$2:$A$1001,"Overdue")&gt;0,"Overdue",IF(COUNTIFS(Transactions!$E$2:$E$1001,A252,Transactions!$A$2:$A$1001,"Open")&gt;0,"Out","In")))</f>
      </c>
      <c r="I252" s="36"/>
    </row>
    <row r="253">
      <c r="A253" s="31"/>
      <c r="B253" s="31"/>
      <c r="C253" s="37">
        <f>IF(B253="","",IFERROR(INDEX('Item master'!$B$2:$B$301,MATCH(B253,'Item master'!$A$2:$A$301,0))&amp;"",""))</f>
      </c>
      <c r="D253" s="31"/>
      <c r="E253" s="32"/>
      <c r="F253" s="38">
        <f>IF(OR(A253="",E253=""),"",IF(E253&lt;TODAY(),"Overdue",IF(E253&lt;=TODAY()+14,"Due in 14 days","OK")))</f>
      </c>
      <c r="G253" s="30"/>
      <c r="H253" s="38">
        <f>IF(A253="","",IF(COUNTIFS(Transactions!$E$2:$E$1001,A253,Transactions!$A$2:$A$1001,"Overdue")&gt;0,"Overdue",IF(COUNTIFS(Transactions!$E$2:$E$1001,A253,Transactions!$A$2:$A$1001,"Open")&gt;0,"Out","In")))</f>
      </c>
      <c r="I253" s="36"/>
    </row>
    <row r="254">
      <c r="A254" s="31"/>
      <c r="B254" s="31"/>
      <c r="C254" s="37">
        <f>IF(B254="","",IFERROR(INDEX('Item master'!$B$2:$B$301,MATCH(B254,'Item master'!$A$2:$A$301,0))&amp;"",""))</f>
      </c>
      <c r="D254" s="31"/>
      <c r="E254" s="32"/>
      <c r="F254" s="38">
        <f>IF(OR(A254="",E254=""),"",IF(E254&lt;TODAY(),"Overdue",IF(E254&lt;=TODAY()+14,"Due in 14 days","OK")))</f>
      </c>
      <c r="G254" s="30"/>
      <c r="H254" s="38">
        <f>IF(A254="","",IF(COUNTIFS(Transactions!$E$2:$E$1001,A254,Transactions!$A$2:$A$1001,"Overdue")&gt;0,"Overdue",IF(COUNTIFS(Transactions!$E$2:$E$1001,A254,Transactions!$A$2:$A$1001,"Open")&gt;0,"Out","In")))</f>
      </c>
      <c r="I254" s="36"/>
    </row>
    <row r="255">
      <c r="A255" s="31"/>
      <c r="B255" s="31"/>
      <c r="C255" s="37">
        <f>IF(B255="","",IFERROR(INDEX('Item master'!$B$2:$B$301,MATCH(B255,'Item master'!$A$2:$A$301,0))&amp;"",""))</f>
      </c>
      <c r="D255" s="31"/>
      <c r="E255" s="32"/>
      <c r="F255" s="38">
        <f>IF(OR(A255="",E255=""),"",IF(E255&lt;TODAY(),"Overdue",IF(E255&lt;=TODAY()+14,"Due in 14 days","OK")))</f>
      </c>
      <c r="G255" s="30"/>
      <c r="H255" s="38">
        <f>IF(A255="","",IF(COUNTIFS(Transactions!$E$2:$E$1001,A255,Transactions!$A$2:$A$1001,"Overdue")&gt;0,"Overdue",IF(COUNTIFS(Transactions!$E$2:$E$1001,A255,Transactions!$A$2:$A$1001,"Open")&gt;0,"Out","In")))</f>
      </c>
      <c r="I255" s="36"/>
    </row>
    <row r="256">
      <c r="A256" s="31"/>
      <c r="B256" s="31"/>
      <c r="C256" s="37">
        <f>IF(B256="","",IFERROR(INDEX('Item master'!$B$2:$B$301,MATCH(B256,'Item master'!$A$2:$A$301,0))&amp;"",""))</f>
      </c>
      <c r="D256" s="31"/>
      <c r="E256" s="32"/>
      <c r="F256" s="38">
        <f>IF(OR(A256="",E256=""),"",IF(E256&lt;TODAY(),"Overdue",IF(E256&lt;=TODAY()+14,"Due in 14 days","OK")))</f>
      </c>
      <c r="G256" s="30"/>
      <c r="H256" s="38">
        <f>IF(A256="","",IF(COUNTIFS(Transactions!$E$2:$E$1001,A256,Transactions!$A$2:$A$1001,"Overdue")&gt;0,"Overdue",IF(COUNTIFS(Transactions!$E$2:$E$1001,A256,Transactions!$A$2:$A$1001,"Open")&gt;0,"Out","In")))</f>
      </c>
      <c r="I256" s="36"/>
    </row>
    <row r="257">
      <c r="A257" s="31"/>
      <c r="B257" s="31"/>
      <c r="C257" s="37">
        <f>IF(B257="","",IFERROR(INDEX('Item master'!$B$2:$B$301,MATCH(B257,'Item master'!$A$2:$A$301,0))&amp;"",""))</f>
      </c>
      <c r="D257" s="31"/>
      <c r="E257" s="32"/>
      <c r="F257" s="38">
        <f>IF(OR(A257="",E257=""),"",IF(E257&lt;TODAY(),"Overdue",IF(E257&lt;=TODAY()+14,"Due in 14 days","OK")))</f>
      </c>
      <c r="G257" s="30"/>
      <c r="H257" s="38">
        <f>IF(A257="","",IF(COUNTIFS(Transactions!$E$2:$E$1001,A257,Transactions!$A$2:$A$1001,"Overdue")&gt;0,"Overdue",IF(COUNTIFS(Transactions!$E$2:$E$1001,A257,Transactions!$A$2:$A$1001,"Open")&gt;0,"Out","In")))</f>
      </c>
      <c r="I257" s="36"/>
    </row>
    <row r="258">
      <c r="A258" s="31"/>
      <c r="B258" s="31"/>
      <c r="C258" s="37">
        <f>IF(B258="","",IFERROR(INDEX('Item master'!$B$2:$B$301,MATCH(B258,'Item master'!$A$2:$A$301,0))&amp;"",""))</f>
      </c>
      <c r="D258" s="31"/>
      <c r="E258" s="32"/>
      <c r="F258" s="38">
        <f>IF(OR(A258="",E258=""),"",IF(E258&lt;TODAY(),"Overdue",IF(E258&lt;=TODAY()+14,"Due in 14 days","OK")))</f>
      </c>
      <c r="G258" s="30"/>
      <c r="H258" s="38">
        <f>IF(A258="","",IF(COUNTIFS(Transactions!$E$2:$E$1001,A258,Transactions!$A$2:$A$1001,"Overdue")&gt;0,"Overdue",IF(COUNTIFS(Transactions!$E$2:$E$1001,A258,Transactions!$A$2:$A$1001,"Open")&gt;0,"Out","In")))</f>
      </c>
      <c r="I258" s="36"/>
    </row>
    <row r="259">
      <c r="A259" s="31"/>
      <c r="B259" s="31"/>
      <c r="C259" s="37">
        <f>IF(B259="","",IFERROR(INDEX('Item master'!$B$2:$B$301,MATCH(B259,'Item master'!$A$2:$A$301,0))&amp;"",""))</f>
      </c>
      <c r="D259" s="31"/>
      <c r="E259" s="32"/>
      <c r="F259" s="38">
        <f>IF(OR(A259="",E259=""),"",IF(E259&lt;TODAY(),"Overdue",IF(E259&lt;=TODAY()+14,"Due in 14 days","OK")))</f>
      </c>
      <c r="G259" s="30"/>
      <c r="H259" s="38">
        <f>IF(A259="","",IF(COUNTIFS(Transactions!$E$2:$E$1001,A259,Transactions!$A$2:$A$1001,"Overdue")&gt;0,"Overdue",IF(COUNTIFS(Transactions!$E$2:$E$1001,A259,Transactions!$A$2:$A$1001,"Open")&gt;0,"Out","In")))</f>
      </c>
      <c r="I259" s="36"/>
    </row>
    <row r="260">
      <c r="A260" s="31"/>
      <c r="B260" s="31"/>
      <c r="C260" s="37">
        <f>IF(B260="","",IFERROR(INDEX('Item master'!$B$2:$B$301,MATCH(B260,'Item master'!$A$2:$A$301,0))&amp;"",""))</f>
      </c>
      <c r="D260" s="31"/>
      <c r="E260" s="32"/>
      <c r="F260" s="38">
        <f>IF(OR(A260="",E260=""),"",IF(E260&lt;TODAY(),"Overdue",IF(E260&lt;=TODAY()+14,"Due in 14 days","OK")))</f>
      </c>
      <c r="G260" s="30"/>
      <c r="H260" s="38">
        <f>IF(A260="","",IF(COUNTIFS(Transactions!$E$2:$E$1001,A260,Transactions!$A$2:$A$1001,"Overdue")&gt;0,"Overdue",IF(COUNTIFS(Transactions!$E$2:$E$1001,A260,Transactions!$A$2:$A$1001,"Open")&gt;0,"Out","In")))</f>
      </c>
      <c r="I260" s="36"/>
    </row>
    <row r="261">
      <c r="A261" s="31"/>
      <c r="B261" s="31"/>
      <c r="C261" s="37">
        <f>IF(B261="","",IFERROR(INDEX('Item master'!$B$2:$B$301,MATCH(B261,'Item master'!$A$2:$A$301,0))&amp;"",""))</f>
      </c>
      <c r="D261" s="31"/>
      <c r="E261" s="32"/>
      <c r="F261" s="38">
        <f>IF(OR(A261="",E261=""),"",IF(E261&lt;TODAY(),"Overdue",IF(E261&lt;=TODAY()+14,"Due in 14 days","OK")))</f>
      </c>
      <c r="G261" s="30"/>
      <c r="H261" s="38">
        <f>IF(A261="","",IF(COUNTIFS(Transactions!$E$2:$E$1001,A261,Transactions!$A$2:$A$1001,"Overdue")&gt;0,"Overdue",IF(COUNTIFS(Transactions!$E$2:$E$1001,A261,Transactions!$A$2:$A$1001,"Open")&gt;0,"Out","In")))</f>
      </c>
      <c r="I261" s="36"/>
    </row>
    <row r="262">
      <c r="A262" s="31"/>
      <c r="B262" s="31"/>
      <c r="C262" s="37">
        <f>IF(B262="","",IFERROR(INDEX('Item master'!$B$2:$B$301,MATCH(B262,'Item master'!$A$2:$A$301,0))&amp;"",""))</f>
      </c>
      <c r="D262" s="31"/>
      <c r="E262" s="32"/>
      <c r="F262" s="38">
        <f>IF(OR(A262="",E262=""),"",IF(E262&lt;TODAY(),"Overdue",IF(E262&lt;=TODAY()+14,"Due in 14 days","OK")))</f>
      </c>
      <c r="G262" s="30"/>
      <c r="H262" s="38">
        <f>IF(A262="","",IF(COUNTIFS(Transactions!$E$2:$E$1001,A262,Transactions!$A$2:$A$1001,"Overdue")&gt;0,"Overdue",IF(COUNTIFS(Transactions!$E$2:$E$1001,A262,Transactions!$A$2:$A$1001,"Open")&gt;0,"Out","In")))</f>
      </c>
      <c r="I262" s="36"/>
    </row>
    <row r="263">
      <c r="A263" s="31"/>
      <c r="B263" s="31"/>
      <c r="C263" s="37">
        <f>IF(B263="","",IFERROR(INDEX('Item master'!$B$2:$B$301,MATCH(B263,'Item master'!$A$2:$A$301,0))&amp;"",""))</f>
      </c>
      <c r="D263" s="31"/>
      <c r="E263" s="32"/>
      <c r="F263" s="38">
        <f>IF(OR(A263="",E263=""),"",IF(E263&lt;TODAY(),"Overdue",IF(E263&lt;=TODAY()+14,"Due in 14 days","OK")))</f>
      </c>
      <c r="G263" s="30"/>
      <c r="H263" s="38">
        <f>IF(A263="","",IF(COUNTIFS(Transactions!$E$2:$E$1001,A263,Transactions!$A$2:$A$1001,"Overdue")&gt;0,"Overdue",IF(COUNTIFS(Transactions!$E$2:$E$1001,A263,Transactions!$A$2:$A$1001,"Open")&gt;0,"Out","In")))</f>
      </c>
      <c r="I263" s="36"/>
    </row>
    <row r="264">
      <c r="A264" s="31"/>
      <c r="B264" s="31"/>
      <c r="C264" s="37">
        <f>IF(B264="","",IFERROR(INDEX('Item master'!$B$2:$B$301,MATCH(B264,'Item master'!$A$2:$A$301,0))&amp;"",""))</f>
      </c>
      <c r="D264" s="31"/>
      <c r="E264" s="32"/>
      <c r="F264" s="38">
        <f>IF(OR(A264="",E264=""),"",IF(E264&lt;TODAY(),"Overdue",IF(E264&lt;=TODAY()+14,"Due in 14 days","OK")))</f>
      </c>
      <c r="G264" s="30"/>
      <c r="H264" s="38">
        <f>IF(A264="","",IF(COUNTIFS(Transactions!$E$2:$E$1001,A264,Transactions!$A$2:$A$1001,"Overdue")&gt;0,"Overdue",IF(COUNTIFS(Transactions!$E$2:$E$1001,A264,Transactions!$A$2:$A$1001,"Open")&gt;0,"Out","In")))</f>
      </c>
      <c r="I264" s="36"/>
    </row>
    <row r="265">
      <c r="A265" s="31"/>
      <c r="B265" s="31"/>
      <c r="C265" s="37">
        <f>IF(B265="","",IFERROR(INDEX('Item master'!$B$2:$B$301,MATCH(B265,'Item master'!$A$2:$A$301,0))&amp;"",""))</f>
      </c>
      <c r="D265" s="31"/>
      <c r="E265" s="32"/>
      <c r="F265" s="38">
        <f>IF(OR(A265="",E265=""),"",IF(E265&lt;TODAY(),"Overdue",IF(E265&lt;=TODAY()+14,"Due in 14 days","OK")))</f>
      </c>
      <c r="G265" s="30"/>
      <c r="H265" s="38">
        <f>IF(A265="","",IF(COUNTIFS(Transactions!$E$2:$E$1001,A265,Transactions!$A$2:$A$1001,"Overdue")&gt;0,"Overdue",IF(COUNTIFS(Transactions!$E$2:$E$1001,A265,Transactions!$A$2:$A$1001,"Open")&gt;0,"Out","In")))</f>
      </c>
      <c r="I265" s="36"/>
    </row>
    <row r="266">
      <c r="A266" s="31"/>
      <c r="B266" s="31"/>
      <c r="C266" s="37">
        <f>IF(B266="","",IFERROR(INDEX('Item master'!$B$2:$B$301,MATCH(B266,'Item master'!$A$2:$A$301,0))&amp;"",""))</f>
      </c>
      <c r="D266" s="31"/>
      <c r="E266" s="32"/>
      <c r="F266" s="38">
        <f>IF(OR(A266="",E266=""),"",IF(E266&lt;TODAY(),"Overdue",IF(E266&lt;=TODAY()+14,"Due in 14 days","OK")))</f>
      </c>
      <c r="G266" s="30"/>
      <c r="H266" s="38">
        <f>IF(A266="","",IF(COUNTIFS(Transactions!$E$2:$E$1001,A266,Transactions!$A$2:$A$1001,"Overdue")&gt;0,"Overdue",IF(COUNTIFS(Transactions!$E$2:$E$1001,A266,Transactions!$A$2:$A$1001,"Open")&gt;0,"Out","In")))</f>
      </c>
      <c r="I266" s="36"/>
    </row>
    <row r="267">
      <c r="A267" s="31"/>
      <c r="B267" s="31"/>
      <c r="C267" s="37">
        <f>IF(B267="","",IFERROR(INDEX('Item master'!$B$2:$B$301,MATCH(B267,'Item master'!$A$2:$A$301,0))&amp;"",""))</f>
      </c>
      <c r="D267" s="31"/>
      <c r="E267" s="32"/>
      <c r="F267" s="38">
        <f>IF(OR(A267="",E267=""),"",IF(E267&lt;TODAY(),"Overdue",IF(E267&lt;=TODAY()+14,"Due in 14 days","OK")))</f>
      </c>
      <c r="G267" s="30"/>
      <c r="H267" s="38">
        <f>IF(A267="","",IF(COUNTIFS(Transactions!$E$2:$E$1001,A267,Transactions!$A$2:$A$1001,"Overdue")&gt;0,"Overdue",IF(COUNTIFS(Transactions!$E$2:$E$1001,A267,Transactions!$A$2:$A$1001,"Open")&gt;0,"Out","In")))</f>
      </c>
      <c r="I267" s="36"/>
    </row>
    <row r="268">
      <c r="A268" s="31"/>
      <c r="B268" s="31"/>
      <c r="C268" s="37">
        <f>IF(B268="","",IFERROR(INDEX('Item master'!$B$2:$B$301,MATCH(B268,'Item master'!$A$2:$A$301,0))&amp;"",""))</f>
      </c>
      <c r="D268" s="31"/>
      <c r="E268" s="32"/>
      <c r="F268" s="38">
        <f>IF(OR(A268="",E268=""),"",IF(E268&lt;TODAY(),"Overdue",IF(E268&lt;=TODAY()+14,"Due in 14 days","OK")))</f>
      </c>
      <c r="G268" s="30"/>
      <c r="H268" s="38">
        <f>IF(A268="","",IF(COUNTIFS(Transactions!$E$2:$E$1001,A268,Transactions!$A$2:$A$1001,"Overdue")&gt;0,"Overdue",IF(COUNTIFS(Transactions!$E$2:$E$1001,A268,Transactions!$A$2:$A$1001,"Open")&gt;0,"Out","In")))</f>
      </c>
      <c r="I268" s="36"/>
    </row>
    <row r="269">
      <c r="A269" s="31"/>
      <c r="B269" s="31"/>
      <c r="C269" s="37">
        <f>IF(B269="","",IFERROR(INDEX('Item master'!$B$2:$B$301,MATCH(B269,'Item master'!$A$2:$A$301,0))&amp;"",""))</f>
      </c>
      <c r="D269" s="31"/>
      <c r="E269" s="32"/>
      <c r="F269" s="38">
        <f>IF(OR(A269="",E269=""),"",IF(E269&lt;TODAY(),"Overdue",IF(E269&lt;=TODAY()+14,"Due in 14 days","OK")))</f>
      </c>
      <c r="G269" s="30"/>
      <c r="H269" s="38">
        <f>IF(A269="","",IF(COUNTIFS(Transactions!$E$2:$E$1001,A269,Transactions!$A$2:$A$1001,"Overdue")&gt;0,"Overdue",IF(COUNTIFS(Transactions!$E$2:$E$1001,A269,Transactions!$A$2:$A$1001,"Open")&gt;0,"Out","In")))</f>
      </c>
      <c r="I269" s="36"/>
    </row>
    <row r="270">
      <c r="A270" s="31"/>
      <c r="B270" s="31"/>
      <c r="C270" s="37">
        <f>IF(B270="","",IFERROR(INDEX('Item master'!$B$2:$B$301,MATCH(B270,'Item master'!$A$2:$A$301,0))&amp;"",""))</f>
      </c>
      <c r="D270" s="31"/>
      <c r="E270" s="32"/>
      <c r="F270" s="38">
        <f>IF(OR(A270="",E270=""),"",IF(E270&lt;TODAY(),"Overdue",IF(E270&lt;=TODAY()+14,"Due in 14 days","OK")))</f>
      </c>
      <c r="G270" s="30"/>
      <c r="H270" s="38">
        <f>IF(A270="","",IF(COUNTIFS(Transactions!$E$2:$E$1001,A270,Transactions!$A$2:$A$1001,"Overdue")&gt;0,"Overdue",IF(COUNTIFS(Transactions!$E$2:$E$1001,A270,Transactions!$A$2:$A$1001,"Open")&gt;0,"Out","In")))</f>
      </c>
      <c r="I270" s="36"/>
    </row>
    <row r="271">
      <c r="A271" s="31"/>
      <c r="B271" s="31"/>
      <c r="C271" s="37">
        <f>IF(B271="","",IFERROR(INDEX('Item master'!$B$2:$B$301,MATCH(B271,'Item master'!$A$2:$A$301,0))&amp;"",""))</f>
      </c>
      <c r="D271" s="31"/>
      <c r="E271" s="32"/>
      <c r="F271" s="38">
        <f>IF(OR(A271="",E271=""),"",IF(E271&lt;TODAY(),"Overdue",IF(E271&lt;=TODAY()+14,"Due in 14 days","OK")))</f>
      </c>
      <c r="G271" s="30"/>
      <c r="H271" s="38">
        <f>IF(A271="","",IF(COUNTIFS(Transactions!$E$2:$E$1001,A271,Transactions!$A$2:$A$1001,"Overdue")&gt;0,"Overdue",IF(COUNTIFS(Transactions!$E$2:$E$1001,A271,Transactions!$A$2:$A$1001,"Open")&gt;0,"Out","In")))</f>
      </c>
      <c r="I271" s="36"/>
    </row>
    <row r="272">
      <c r="A272" s="31"/>
      <c r="B272" s="31"/>
      <c r="C272" s="37">
        <f>IF(B272="","",IFERROR(INDEX('Item master'!$B$2:$B$301,MATCH(B272,'Item master'!$A$2:$A$301,0))&amp;"",""))</f>
      </c>
      <c r="D272" s="31"/>
      <c r="E272" s="32"/>
      <c r="F272" s="38">
        <f>IF(OR(A272="",E272=""),"",IF(E272&lt;TODAY(),"Overdue",IF(E272&lt;=TODAY()+14,"Due in 14 days","OK")))</f>
      </c>
      <c r="G272" s="30"/>
      <c r="H272" s="38">
        <f>IF(A272="","",IF(COUNTIFS(Transactions!$E$2:$E$1001,A272,Transactions!$A$2:$A$1001,"Overdue")&gt;0,"Overdue",IF(COUNTIFS(Transactions!$E$2:$E$1001,A272,Transactions!$A$2:$A$1001,"Open")&gt;0,"Out","In")))</f>
      </c>
      <c r="I272" s="36"/>
    </row>
    <row r="273">
      <c r="A273" s="31"/>
      <c r="B273" s="31"/>
      <c r="C273" s="37">
        <f>IF(B273="","",IFERROR(INDEX('Item master'!$B$2:$B$301,MATCH(B273,'Item master'!$A$2:$A$301,0))&amp;"",""))</f>
      </c>
      <c r="D273" s="31"/>
      <c r="E273" s="32"/>
      <c r="F273" s="38">
        <f>IF(OR(A273="",E273=""),"",IF(E273&lt;TODAY(),"Overdue",IF(E273&lt;=TODAY()+14,"Due in 14 days","OK")))</f>
      </c>
      <c r="G273" s="30"/>
      <c r="H273" s="38">
        <f>IF(A273="","",IF(COUNTIFS(Transactions!$E$2:$E$1001,A273,Transactions!$A$2:$A$1001,"Overdue")&gt;0,"Overdue",IF(COUNTIFS(Transactions!$E$2:$E$1001,A273,Transactions!$A$2:$A$1001,"Open")&gt;0,"Out","In")))</f>
      </c>
      <c r="I273" s="36"/>
    </row>
    <row r="274">
      <c r="A274" s="31"/>
      <c r="B274" s="31"/>
      <c r="C274" s="37">
        <f>IF(B274="","",IFERROR(INDEX('Item master'!$B$2:$B$301,MATCH(B274,'Item master'!$A$2:$A$301,0))&amp;"",""))</f>
      </c>
      <c r="D274" s="31"/>
      <c r="E274" s="32"/>
      <c r="F274" s="38">
        <f>IF(OR(A274="",E274=""),"",IF(E274&lt;TODAY(),"Overdue",IF(E274&lt;=TODAY()+14,"Due in 14 days","OK")))</f>
      </c>
      <c r="G274" s="30"/>
      <c r="H274" s="38">
        <f>IF(A274="","",IF(COUNTIFS(Transactions!$E$2:$E$1001,A274,Transactions!$A$2:$A$1001,"Overdue")&gt;0,"Overdue",IF(COUNTIFS(Transactions!$E$2:$E$1001,A274,Transactions!$A$2:$A$1001,"Open")&gt;0,"Out","In")))</f>
      </c>
      <c r="I274" s="36"/>
    </row>
    <row r="275">
      <c r="A275" s="31"/>
      <c r="B275" s="31"/>
      <c r="C275" s="37">
        <f>IF(B275="","",IFERROR(INDEX('Item master'!$B$2:$B$301,MATCH(B275,'Item master'!$A$2:$A$301,0))&amp;"",""))</f>
      </c>
      <c r="D275" s="31"/>
      <c r="E275" s="32"/>
      <c r="F275" s="38">
        <f>IF(OR(A275="",E275=""),"",IF(E275&lt;TODAY(),"Overdue",IF(E275&lt;=TODAY()+14,"Due in 14 days","OK")))</f>
      </c>
      <c r="G275" s="30"/>
      <c r="H275" s="38">
        <f>IF(A275="","",IF(COUNTIFS(Transactions!$E$2:$E$1001,A275,Transactions!$A$2:$A$1001,"Overdue")&gt;0,"Overdue",IF(COUNTIFS(Transactions!$E$2:$E$1001,A275,Transactions!$A$2:$A$1001,"Open")&gt;0,"Out","In")))</f>
      </c>
      <c r="I275" s="36"/>
    </row>
    <row r="276">
      <c r="A276" s="31"/>
      <c r="B276" s="31"/>
      <c r="C276" s="37">
        <f>IF(B276="","",IFERROR(INDEX('Item master'!$B$2:$B$301,MATCH(B276,'Item master'!$A$2:$A$301,0))&amp;"",""))</f>
      </c>
      <c r="D276" s="31"/>
      <c r="E276" s="32"/>
      <c r="F276" s="38">
        <f>IF(OR(A276="",E276=""),"",IF(E276&lt;TODAY(),"Overdue",IF(E276&lt;=TODAY()+14,"Due in 14 days","OK")))</f>
      </c>
      <c r="G276" s="30"/>
      <c r="H276" s="38">
        <f>IF(A276="","",IF(COUNTIFS(Transactions!$E$2:$E$1001,A276,Transactions!$A$2:$A$1001,"Overdue")&gt;0,"Overdue",IF(COUNTIFS(Transactions!$E$2:$E$1001,A276,Transactions!$A$2:$A$1001,"Open")&gt;0,"Out","In")))</f>
      </c>
      <c r="I276" s="36"/>
    </row>
    <row r="277">
      <c r="A277" s="31"/>
      <c r="B277" s="31"/>
      <c r="C277" s="37">
        <f>IF(B277="","",IFERROR(INDEX('Item master'!$B$2:$B$301,MATCH(B277,'Item master'!$A$2:$A$301,0))&amp;"",""))</f>
      </c>
      <c r="D277" s="31"/>
      <c r="E277" s="32"/>
      <c r="F277" s="38">
        <f>IF(OR(A277="",E277=""),"",IF(E277&lt;TODAY(),"Overdue",IF(E277&lt;=TODAY()+14,"Due in 14 days","OK")))</f>
      </c>
      <c r="G277" s="30"/>
      <c r="H277" s="38">
        <f>IF(A277="","",IF(COUNTIFS(Transactions!$E$2:$E$1001,A277,Transactions!$A$2:$A$1001,"Overdue")&gt;0,"Overdue",IF(COUNTIFS(Transactions!$E$2:$E$1001,A277,Transactions!$A$2:$A$1001,"Open")&gt;0,"Out","In")))</f>
      </c>
      <c r="I277" s="36"/>
    </row>
    <row r="278">
      <c r="A278" s="31"/>
      <c r="B278" s="31"/>
      <c r="C278" s="37">
        <f>IF(B278="","",IFERROR(INDEX('Item master'!$B$2:$B$301,MATCH(B278,'Item master'!$A$2:$A$301,0))&amp;"",""))</f>
      </c>
      <c r="D278" s="31"/>
      <c r="E278" s="32"/>
      <c r="F278" s="38">
        <f>IF(OR(A278="",E278=""),"",IF(E278&lt;TODAY(),"Overdue",IF(E278&lt;=TODAY()+14,"Due in 14 days","OK")))</f>
      </c>
      <c r="G278" s="30"/>
      <c r="H278" s="38">
        <f>IF(A278="","",IF(COUNTIFS(Transactions!$E$2:$E$1001,A278,Transactions!$A$2:$A$1001,"Overdue")&gt;0,"Overdue",IF(COUNTIFS(Transactions!$E$2:$E$1001,A278,Transactions!$A$2:$A$1001,"Open")&gt;0,"Out","In")))</f>
      </c>
      <c r="I278" s="36"/>
    </row>
    <row r="279">
      <c r="A279" s="31"/>
      <c r="B279" s="31"/>
      <c r="C279" s="37">
        <f>IF(B279="","",IFERROR(INDEX('Item master'!$B$2:$B$301,MATCH(B279,'Item master'!$A$2:$A$301,0))&amp;"",""))</f>
      </c>
      <c r="D279" s="31"/>
      <c r="E279" s="32"/>
      <c r="F279" s="38">
        <f>IF(OR(A279="",E279=""),"",IF(E279&lt;TODAY(),"Overdue",IF(E279&lt;=TODAY()+14,"Due in 14 days","OK")))</f>
      </c>
      <c r="G279" s="30"/>
      <c r="H279" s="38">
        <f>IF(A279="","",IF(COUNTIFS(Transactions!$E$2:$E$1001,A279,Transactions!$A$2:$A$1001,"Overdue")&gt;0,"Overdue",IF(COUNTIFS(Transactions!$E$2:$E$1001,A279,Transactions!$A$2:$A$1001,"Open")&gt;0,"Out","In")))</f>
      </c>
      <c r="I279" s="36"/>
    </row>
    <row r="280">
      <c r="A280" s="31"/>
      <c r="B280" s="31"/>
      <c r="C280" s="37">
        <f>IF(B280="","",IFERROR(INDEX('Item master'!$B$2:$B$301,MATCH(B280,'Item master'!$A$2:$A$301,0))&amp;"",""))</f>
      </c>
      <c r="D280" s="31"/>
      <c r="E280" s="32"/>
      <c r="F280" s="38">
        <f>IF(OR(A280="",E280=""),"",IF(E280&lt;TODAY(),"Overdue",IF(E280&lt;=TODAY()+14,"Due in 14 days","OK")))</f>
      </c>
      <c r="G280" s="30"/>
      <c r="H280" s="38">
        <f>IF(A280="","",IF(COUNTIFS(Transactions!$E$2:$E$1001,A280,Transactions!$A$2:$A$1001,"Overdue")&gt;0,"Overdue",IF(COUNTIFS(Transactions!$E$2:$E$1001,A280,Transactions!$A$2:$A$1001,"Open")&gt;0,"Out","In")))</f>
      </c>
      <c r="I280" s="36"/>
    </row>
    <row r="281">
      <c r="A281" s="31"/>
      <c r="B281" s="31"/>
      <c r="C281" s="37">
        <f>IF(B281="","",IFERROR(INDEX('Item master'!$B$2:$B$301,MATCH(B281,'Item master'!$A$2:$A$301,0))&amp;"",""))</f>
      </c>
      <c r="D281" s="31"/>
      <c r="E281" s="32"/>
      <c r="F281" s="38">
        <f>IF(OR(A281="",E281=""),"",IF(E281&lt;TODAY(),"Overdue",IF(E281&lt;=TODAY()+14,"Due in 14 days","OK")))</f>
      </c>
      <c r="G281" s="30"/>
      <c r="H281" s="38">
        <f>IF(A281="","",IF(COUNTIFS(Transactions!$E$2:$E$1001,A281,Transactions!$A$2:$A$1001,"Overdue")&gt;0,"Overdue",IF(COUNTIFS(Transactions!$E$2:$E$1001,A281,Transactions!$A$2:$A$1001,"Open")&gt;0,"Out","In")))</f>
      </c>
      <c r="I281" s="36"/>
    </row>
    <row r="282">
      <c r="A282" s="31"/>
      <c r="B282" s="31"/>
      <c r="C282" s="37">
        <f>IF(B282="","",IFERROR(INDEX('Item master'!$B$2:$B$301,MATCH(B282,'Item master'!$A$2:$A$301,0))&amp;"",""))</f>
      </c>
      <c r="D282" s="31"/>
      <c r="E282" s="32"/>
      <c r="F282" s="38">
        <f>IF(OR(A282="",E282=""),"",IF(E282&lt;TODAY(),"Overdue",IF(E282&lt;=TODAY()+14,"Due in 14 days","OK")))</f>
      </c>
      <c r="G282" s="30"/>
      <c r="H282" s="38">
        <f>IF(A282="","",IF(COUNTIFS(Transactions!$E$2:$E$1001,A282,Transactions!$A$2:$A$1001,"Overdue")&gt;0,"Overdue",IF(COUNTIFS(Transactions!$E$2:$E$1001,A282,Transactions!$A$2:$A$1001,"Open")&gt;0,"Out","In")))</f>
      </c>
      <c r="I282" s="36"/>
    </row>
    <row r="283">
      <c r="A283" s="31"/>
      <c r="B283" s="31"/>
      <c r="C283" s="37">
        <f>IF(B283="","",IFERROR(INDEX('Item master'!$B$2:$B$301,MATCH(B283,'Item master'!$A$2:$A$301,0))&amp;"",""))</f>
      </c>
      <c r="D283" s="31"/>
      <c r="E283" s="32"/>
      <c r="F283" s="38">
        <f>IF(OR(A283="",E283=""),"",IF(E283&lt;TODAY(),"Overdue",IF(E283&lt;=TODAY()+14,"Due in 14 days","OK")))</f>
      </c>
      <c r="G283" s="30"/>
      <c r="H283" s="38">
        <f>IF(A283="","",IF(COUNTIFS(Transactions!$E$2:$E$1001,A283,Transactions!$A$2:$A$1001,"Overdue")&gt;0,"Overdue",IF(COUNTIFS(Transactions!$E$2:$E$1001,A283,Transactions!$A$2:$A$1001,"Open")&gt;0,"Out","In")))</f>
      </c>
      <c r="I283" s="36"/>
    </row>
    <row r="284">
      <c r="A284" s="31"/>
      <c r="B284" s="31"/>
      <c r="C284" s="37">
        <f>IF(B284="","",IFERROR(INDEX('Item master'!$B$2:$B$301,MATCH(B284,'Item master'!$A$2:$A$301,0))&amp;"",""))</f>
      </c>
      <c r="D284" s="31"/>
      <c r="E284" s="32"/>
      <c r="F284" s="38">
        <f>IF(OR(A284="",E284=""),"",IF(E284&lt;TODAY(),"Overdue",IF(E284&lt;=TODAY()+14,"Due in 14 days","OK")))</f>
      </c>
      <c r="G284" s="30"/>
      <c r="H284" s="38">
        <f>IF(A284="","",IF(COUNTIFS(Transactions!$E$2:$E$1001,A284,Transactions!$A$2:$A$1001,"Overdue")&gt;0,"Overdue",IF(COUNTIFS(Transactions!$E$2:$E$1001,A284,Transactions!$A$2:$A$1001,"Open")&gt;0,"Out","In")))</f>
      </c>
      <c r="I284" s="36"/>
    </row>
    <row r="285">
      <c r="A285" s="31"/>
      <c r="B285" s="31"/>
      <c r="C285" s="37">
        <f>IF(B285="","",IFERROR(INDEX('Item master'!$B$2:$B$301,MATCH(B285,'Item master'!$A$2:$A$301,0))&amp;"",""))</f>
      </c>
      <c r="D285" s="31"/>
      <c r="E285" s="32"/>
      <c r="F285" s="38">
        <f>IF(OR(A285="",E285=""),"",IF(E285&lt;TODAY(),"Overdue",IF(E285&lt;=TODAY()+14,"Due in 14 days","OK")))</f>
      </c>
      <c r="G285" s="30"/>
      <c r="H285" s="38">
        <f>IF(A285="","",IF(COUNTIFS(Transactions!$E$2:$E$1001,A285,Transactions!$A$2:$A$1001,"Overdue")&gt;0,"Overdue",IF(COUNTIFS(Transactions!$E$2:$E$1001,A285,Transactions!$A$2:$A$1001,"Open")&gt;0,"Out","In")))</f>
      </c>
      <c r="I285" s="36"/>
    </row>
    <row r="286">
      <c r="A286" s="31"/>
      <c r="B286" s="31"/>
      <c r="C286" s="37">
        <f>IF(B286="","",IFERROR(INDEX('Item master'!$B$2:$B$301,MATCH(B286,'Item master'!$A$2:$A$301,0))&amp;"",""))</f>
      </c>
      <c r="D286" s="31"/>
      <c r="E286" s="32"/>
      <c r="F286" s="38">
        <f>IF(OR(A286="",E286=""),"",IF(E286&lt;TODAY(),"Overdue",IF(E286&lt;=TODAY()+14,"Due in 14 days","OK")))</f>
      </c>
      <c r="G286" s="30"/>
      <c r="H286" s="38">
        <f>IF(A286="","",IF(COUNTIFS(Transactions!$E$2:$E$1001,A286,Transactions!$A$2:$A$1001,"Overdue")&gt;0,"Overdue",IF(COUNTIFS(Transactions!$E$2:$E$1001,A286,Transactions!$A$2:$A$1001,"Open")&gt;0,"Out","In")))</f>
      </c>
      <c r="I286" s="36"/>
    </row>
    <row r="287">
      <c r="A287" s="31"/>
      <c r="B287" s="31"/>
      <c r="C287" s="37">
        <f>IF(B287="","",IFERROR(INDEX('Item master'!$B$2:$B$301,MATCH(B287,'Item master'!$A$2:$A$301,0))&amp;"",""))</f>
      </c>
      <c r="D287" s="31"/>
      <c r="E287" s="32"/>
      <c r="F287" s="38">
        <f>IF(OR(A287="",E287=""),"",IF(E287&lt;TODAY(),"Overdue",IF(E287&lt;=TODAY()+14,"Due in 14 days","OK")))</f>
      </c>
      <c r="G287" s="30"/>
      <c r="H287" s="38">
        <f>IF(A287="","",IF(COUNTIFS(Transactions!$E$2:$E$1001,A287,Transactions!$A$2:$A$1001,"Overdue")&gt;0,"Overdue",IF(COUNTIFS(Transactions!$E$2:$E$1001,A287,Transactions!$A$2:$A$1001,"Open")&gt;0,"Out","In")))</f>
      </c>
      <c r="I287" s="36"/>
    </row>
    <row r="288">
      <c r="A288" s="31"/>
      <c r="B288" s="31"/>
      <c r="C288" s="37">
        <f>IF(B288="","",IFERROR(INDEX('Item master'!$B$2:$B$301,MATCH(B288,'Item master'!$A$2:$A$301,0))&amp;"",""))</f>
      </c>
      <c r="D288" s="31"/>
      <c r="E288" s="32"/>
      <c r="F288" s="38">
        <f>IF(OR(A288="",E288=""),"",IF(E288&lt;TODAY(),"Overdue",IF(E288&lt;=TODAY()+14,"Due in 14 days","OK")))</f>
      </c>
      <c r="G288" s="30"/>
      <c r="H288" s="38">
        <f>IF(A288="","",IF(COUNTIFS(Transactions!$E$2:$E$1001,A288,Transactions!$A$2:$A$1001,"Overdue")&gt;0,"Overdue",IF(COUNTIFS(Transactions!$E$2:$E$1001,A288,Transactions!$A$2:$A$1001,"Open")&gt;0,"Out","In")))</f>
      </c>
      <c r="I288" s="36"/>
    </row>
    <row r="289">
      <c r="A289" s="31"/>
      <c r="B289" s="31"/>
      <c r="C289" s="37">
        <f>IF(B289="","",IFERROR(INDEX('Item master'!$B$2:$B$301,MATCH(B289,'Item master'!$A$2:$A$301,0))&amp;"",""))</f>
      </c>
      <c r="D289" s="31"/>
      <c r="E289" s="32"/>
      <c r="F289" s="38">
        <f>IF(OR(A289="",E289=""),"",IF(E289&lt;TODAY(),"Overdue",IF(E289&lt;=TODAY()+14,"Due in 14 days","OK")))</f>
      </c>
      <c r="G289" s="30"/>
      <c r="H289" s="38">
        <f>IF(A289="","",IF(COUNTIFS(Transactions!$E$2:$E$1001,A289,Transactions!$A$2:$A$1001,"Overdue")&gt;0,"Overdue",IF(COUNTIFS(Transactions!$E$2:$E$1001,A289,Transactions!$A$2:$A$1001,"Open")&gt;0,"Out","In")))</f>
      </c>
      <c r="I289" s="36"/>
    </row>
    <row r="290">
      <c r="A290" s="31"/>
      <c r="B290" s="31"/>
      <c r="C290" s="37">
        <f>IF(B290="","",IFERROR(INDEX('Item master'!$B$2:$B$301,MATCH(B290,'Item master'!$A$2:$A$301,0))&amp;"",""))</f>
      </c>
      <c r="D290" s="31"/>
      <c r="E290" s="32"/>
      <c r="F290" s="38">
        <f>IF(OR(A290="",E290=""),"",IF(E290&lt;TODAY(),"Overdue",IF(E290&lt;=TODAY()+14,"Due in 14 days","OK")))</f>
      </c>
      <c r="G290" s="30"/>
      <c r="H290" s="38">
        <f>IF(A290="","",IF(COUNTIFS(Transactions!$E$2:$E$1001,A290,Transactions!$A$2:$A$1001,"Overdue")&gt;0,"Overdue",IF(COUNTIFS(Transactions!$E$2:$E$1001,A290,Transactions!$A$2:$A$1001,"Open")&gt;0,"Out","In")))</f>
      </c>
      <c r="I290" s="36"/>
    </row>
    <row r="291">
      <c r="A291" s="31"/>
      <c r="B291" s="31"/>
      <c r="C291" s="37">
        <f>IF(B291="","",IFERROR(INDEX('Item master'!$B$2:$B$301,MATCH(B291,'Item master'!$A$2:$A$301,0))&amp;"",""))</f>
      </c>
      <c r="D291" s="31"/>
      <c r="E291" s="32"/>
      <c r="F291" s="38">
        <f>IF(OR(A291="",E291=""),"",IF(E291&lt;TODAY(),"Overdue",IF(E291&lt;=TODAY()+14,"Due in 14 days","OK")))</f>
      </c>
      <c r="G291" s="30"/>
      <c r="H291" s="38">
        <f>IF(A291="","",IF(COUNTIFS(Transactions!$E$2:$E$1001,A291,Transactions!$A$2:$A$1001,"Overdue")&gt;0,"Overdue",IF(COUNTIFS(Transactions!$E$2:$E$1001,A291,Transactions!$A$2:$A$1001,"Open")&gt;0,"Out","In")))</f>
      </c>
      <c r="I291" s="36"/>
    </row>
    <row r="292">
      <c r="A292" s="31"/>
      <c r="B292" s="31"/>
      <c r="C292" s="37">
        <f>IF(B292="","",IFERROR(INDEX('Item master'!$B$2:$B$301,MATCH(B292,'Item master'!$A$2:$A$301,0))&amp;"",""))</f>
      </c>
      <c r="D292" s="31"/>
      <c r="E292" s="32"/>
      <c r="F292" s="38">
        <f>IF(OR(A292="",E292=""),"",IF(E292&lt;TODAY(),"Overdue",IF(E292&lt;=TODAY()+14,"Due in 14 days","OK")))</f>
      </c>
      <c r="G292" s="30"/>
      <c r="H292" s="38">
        <f>IF(A292="","",IF(COUNTIFS(Transactions!$E$2:$E$1001,A292,Transactions!$A$2:$A$1001,"Overdue")&gt;0,"Overdue",IF(COUNTIFS(Transactions!$E$2:$E$1001,A292,Transactions!$A$2:$A$1001,"Open")&gt;0,"Out","In")))</f>
      </c>
      <c r="I292" s="36"/>
    </row>
    <row r="293">
      <c r="A293" s="31"/>
      <c r="B293" s="31"/>
      <c r="C293" s="37">
        <f>IF(B293="","",IFERROR(INDEX('Item master'!$B$2:$B$301,MATCH(B293,'Item master'!$A$2:$A$301,0))&amp;"",""))</f>
      </c>
      <c r="D293" s="31"/>
      <c r="E293" s="32"/>
      <c r="F293" s="38">
        <f>IF(OR(A293="",E293=""),"",IF(E293&lt;TODAY(),"Overdue",IF(E293&lt;=TODAY()+14,"Due in 14 days","OK")))</f>
      </c>
      <c r="G293" s="30"/>
      <c r="H293" s="38">
        <f>IF(A293="","",IF(COUNTIFS(Transactions!$E$2:$E$1001,A293,Transactions!$A$2:$A$1001,"Overdue")&gt;0,"Overdue",IF(COUNTIFS(Transactions!$E$2:$E$1001,A293,Transactions!$A$2:$A$1001,"Open")&gt;0,"Out","In")))</f>
      </c>
      <c r="I293" s="36"/>
    </row>
    <row r="294">
      <c r="A294" s="31"/>
      <c r="B294" s="31"/>
      <c r="C294" s="37">
        <f>IF(B294="","",IFERROR(INDEX('Item master'!$B$2:$B$301,MATCH(B294,'Item master'!$A$2:$A$301,0))&amp;"",""))</f>
      </c>
      <c r="D294" s="31"/>
      <c r="E294" s="32"/>
      <c r="F294" s="38">
        <f>IF(OR(A294="",E294=""),"",IF(E294&lt;TODAY(),"Overdue",IF(E294&lt;=TODAY()+14,"Due in 14 days","OK")))</f>
      </c>
      <c r="G294" s="30"/>
      <c r="H294" s="38">
        <f>IF(A294="","",IF(COUNTIFS(Transactions!$E$2:$E$1001,A294,Transactions!$A$2:$A$1001,"Overdue")&gt;0,"Overdue",IF(COUNTIFS(Transactions!$E$2:$E$1001,A294,Transactions!$A$2:$A$1001,"Open")&gt;0,"Out","In")))</f>
      </c>
      <c r="I294" s="36"/>
    </row>
    <row r="295">
      <c r="A295" s="31"/>
      <c r="B295" s="31"/>
      <c r="C295" s="37">
        <f>IF(B295="","",IFERROR(INDEX('Item master'!$B$2:$B$301,MATCH(B295,'Item master'!$A$2:$A$301,0))&amp;"",""))</f>
      </c>
      <c r="D295" s="31"/>
      <c r="E295" s="32"/>
      <c r="F295" s="38">
        <f>IF(OR(A295="",E295=""),"",IF(E295&lt;TODAY(),"Overdue",IF(E295&lt;=TODAY()+14,"Due in 14 days","OK")))</f>
      </c>
      <c r="G295" s="30"/>
      <c r="H295" s="38">
        <f>IF(A295="","",IF(COUNTIFS(Transactions!$E$2:$E$1001,A295,Transactions!$A$2:$A$1001,"Overdue")&gt;0,"Overdue",IF(COUNTIFS(Transactions!$E$2:$E$1001,A295,Transactions!$A$2:$A$1001,"Open")&gt;0,"Out","In")))</f>
      </c>
      <c r="I295" s="36"/>
    </row>
    <row r="296">
      <c r="A296" s="31"/>
      <c r="B296" s="31"/>
      <c r="C296" s="37">
        <f>IF(B296="","",IFERROR(INDEX('Item master'!$B$2:$B$301,MATCH(B296,'Item master'!$A$2:$A$301,0))&amp;"",""))</f>
      </c>
      <c r="D296" s="31"/>
      <c r="E296" s="32"/>
      <c r="F296" s="38">
        <f>IF(OR(A296="",E296=""),"",IF(E296&lt;TODAY(),"Overdue",IF(E296&lt;=TODAY()+14,"Due in 14 days","OK")))</f>
      </c>
      <c r="G296" s="30"/>
      <c r="H296" s="38">
        <f>IF(A296="","",IF(COUNTIFS(Transactions!$E$2:$E$1001,A296,Transactions!$A$2:$A$1001,"Overdue")&gt;0,"Overdue",IF(COUNTIFS(Transactions!$E$2:$E$1001,A296,Transactions!$A$2:$A$1001,"Open")&gt;0,"Out","In")))</f>
      </c>
      <c r="I296" s="36"/>
    </row>
    <row r="297">
      <c r="A297" s="31"/>
      <c r="B297" s="31"/>
      <c r="C297" s="37">
        <f>IF(B297="","",IFERROR(INDEX('Item master'!$B$2:$B$301,MATCH(B297,'Item master'!$A$2:$A$301,0))&amp;"",""))</f>
      </c>
      <c r="D297" s="31"/>
      <c r="E297" s="32"/>
      <c r="F297" s="38">
        <f>IF(OR(A297="",E297=""),"",IF(E297&lt;TODAY(),"Overdue",IF(E297&lt;=TODAY()+14,"Due in 14 days","OK")))</f>
      </c>
      <c r="G297" s="30"/>
      <c r="H297" s="38">
        <f>IF(A297="","",IF(COUNTIFS(Transactions!$E$2:$E$1001,A297,Transactions!$A$2:$A$1001,"Overdue")&gt;0,"Overdue",IF(COUNTIFS(Transactions!$E$2:$E$1001,A297,Transactions!$A$2:$A$1001,"Open")&gt;0,"Out","In")))</f>
      </c>
      <c r="I297" s="36"/>
    </row>
    <row r="298">
      <c r="A298" s="31"/>
      <c r="B298" s="31"/>
      <c r="C298" s="37">
        <f>IF(B298="","",IFERROR(INDEX('Item master'!$B$2:$B$301,MATCH(B298,'Item master'!$A$2:$A$301,0))&amp;"",""))</f>
      </c>
      <c r="D298" s="31"/>
      <c r="E298" s="32"/>
      <c r="F298" s="38">
        <f>IF(OR(A298="",E298=""),"",IF(E298&lt;TODAY(),"Overdue",IF(E298&lt;=TODAY()+14,"Due in 14 days","OK")))</f>
      </c>
      <c r="G298" s="30"/>
      <c r="H298" s="38">
        <f>IF(A298="","",IF(COUNTIFS(Transactions!$E$2:$E$1001,A298,Transactions!$A$2:$A$1001,"Overdue")&gt;0,"Overdue",IF(COUNTIFS(Transactions!$E$2:$E$1001,A298,Transactions!$A$2:$A$1001,"Open")&gt;0,"Out","In")))</f>
      </c>
      <c r="I298" s="36"/>
    </row>
    <row r="299">
      <c r="A299" s="31"/>
      <c r="B299" s="31"/>
      <c r="C299" s="37">
        <f>IF(B299="","",IFERROR(INDEX('Item master'!$B$2:$B$301,MATCH(B299,'Item master'!$A$2:$A$301,0))&amp;"",""))</f>
      </c>
      <c r="D299" s="31"/>
      <c r="E299" s="32"/>
      <c r="F299" s="38">
        <f>IF(OR(A299="",E299=""),"",IF(E299&lt;TODAY(),"Overdue",IF(E299&lt;=TODAY()+14,"Due in 14 days","OK")))</f>
      </c>
      <c r="G299" s="30"/>
      <c r="H299" s="38">
        <f>IF(A299="","",IF(COUNTIFS(Transactions!$E$2:$E$1001,A299,Transactions!$A$2:$A$1001,"Overdue")&gt;0,"Overdue",IF(COUNTIFS(Transactions!$E$2:$E$1001,A299,Transactions!$A$2:$A$1001,"Open")&gt;0,"Out","In")))</f>
      </c>
      <c r="I299" s="36"/>
    </row>
    <row r="300">
      <c r="A300" s="31"/>
      <c r="B300" s="31"/>
      <c r="C300" s="37">
        <f>IF(B300="","",IFERROR(INDEX('Item master'!$B$2:$B$301,MATCH(B300,'Item master'!$A$2:$A$301,0))&amp;"",""))</f>
      </c>
      <c r="D300" s="31"/>
      <c r="E300" s="32"/>
      <c r="F300" s="38">
        <f>IF(OR(A300="",E300=""),"",IF(E300&lt;TODAY(),"Overdue",IF(E300&lt;=TODAY()+14,"Due in 14 days","OK")))</f>
      </c>
      <c r="G300" s="30"/>
      <c r="H300" s="38">
        <f>IF(A300="","",IF(COUNTIFS(Transactions!$E$2:$E$1001,A300,Transactions!$A$2:$A$1001,"Overdue")&gt;0,"Overdue",IF(COUNTIFS(Transactions!$E$2:$E$1001,A300,Transactions!$A$2:$A$1001,"Open")&gt;0,"Out","In")))</f>
      </c>
      <c r="I300" s="36"/>
    </row>
    <row r="301">
      <c r="A301" s="31"/>
      <c r="B301" s="31"/>
      <c r="C301" s="37">
        <f>IF(B301="","",IFERROR(INDEX('Item master'!$B$2:$B$301,MATCH(B301,'Item master'!$A$2:$A$301,0))&amp;"",""))</f>
      </c>
      <c r="D301" s="31"/>
      <c r="E301" s="32"/>
      <c r="F301" s="38">
        <f>IF(OR(A301="",E301=""),"",IF(E301&lt;TODAY(),"Overdue",IF(E301&lt;=TODAY()+14,"Due in 14 days","OK")))</f>
      </c>
      <c r="G301" s="30"/>
      <c r="H301" s="38">
        <f>IF(A301="","",IF(COUNTIFS(Transactions!$E$2:$E$1001,A301,Transactions!$A$2:$A$1001,"Overdue")&gt;0,"Overdue",IF(COUNTIFS(Transactions!$E$2:$E$1001,A301,Transactions!$A$2:$A$1001,"Open")&gt;0,"Out","In")))</f>
      </c>
      <c r="I301" s="36"/>
    </row>
    <row r="302">
      <c r="A302" s="31"/>
      <c r="B302" s="31"/>
      <c r="C302" s="37">
        <f>IF(B302="","",IFERROR(INDEX('Item master'!$B$2:$B$301,MATCH(B302,'Item master'!$A$2:$A$301,0))&amp;"",""))</f>
      </c>
      <c r="D302" s="31"/>
      <c r="E302" s="32"/>
      <c r="F302" s="38">
        <f>IF(OR(A302="",E302=""),"",IF(E302&lt;TODAY(),"Overdue",IF(E302&lt;=TODAY()+14,"Due in 14 days","OK")))</f>
      </c>
      <c r="G302" s="30"/>
      <c r="H302" s="38">
        <f>IF(A302="","",IF(COUNTIFS(Transactions!$E$2:$E$1001,A302,Transactions!$A$2:$A$1001,"Overdue")&gt;0,"Overdue",IF(COUNTIFS(Transactions!$E$2:$E$1001,A302,Transactions!$A$2:$A$1001,"Open")&gt;0,"Out","In")))</f>
      </c>
      <c r="I302" s="36"/>
    </row>
    <row r="303">
      <c r="A303" s="31"/>
      <c r="B303" s="31"/>
      <c r="C303" s="37">
        <f>IF(B303="","",IFERROR(INDEX('Item master'!$B$2:$B$301,MATCH(B303,'Item master'!$A$2:$A$301,0))&amp;"",""))</f>
      </c>
      <c r="D303" s="31"/>
      <c r="E303" s="32"/>
      <c r="F303" s="38">
        <f>IF(OR(A303="",E303=""),"",IF(E303&lt;TODAY(),"Overdue",IF(E303&lt;=TODAY()+14,"Due in 14 days","OK")))</f>
      </c>
      <c r="G303" s="30"/>
      <c r="H303" s="38">
        <f>IF(A303="","",IF(COUNTIFS(Transactions!$E$2:$E$1001,A303,Transactions!$A$2:$A$1001,"Overdue")&gt;0,"Overdue",IF(COUNTIFS(Transactions!$E$2:$E$1001,A303,Transactions!$A$2:$A$1001,"Open")&gt;0,"Out","In")))</f>
      </c>
      <c r="I303" s="36"/>
    </row>
    <row r="304">
      <c r="A304" s="31"/>
      <c r="B304" s="31"/>
      <c r="C304" s="37">
        <f>IF(B304="","",IFERROR(INDEX('Item master'!$B$2:$B$301,MATCH(B304,'Item master'!$A$2:$A$301,0))&amp;"",""))</f>
      </c>
      <c r="D304" s="31"/>
      <c r="E304" s="32"/>
      <c r="F304" s="38">
        <f>IF(OR(A304="",E304=""),"",IF(E304&lt;TODAY(),"Overdue",IF(E304&lt;=TODAY()+14,"Due in 14 days","OK")))</f>
      </c>
      <c r="G304" s="30"/>
      <c r="H304" s="38">
        <f>IF(A304="","",IF(COUNTIFS(Transactions!$E$2:$E$1001,A304,Transactions!$A$2:$A$1001,"Overdue")&gt;0,"Overdue",IF(COUNTIFS(Transactions!$E$2:$E$1001,A304,Transactions!$A$2:$A$1001,"Open")&gt;0,"Out","In")))</f>
      </c>
      <c r="I304" s="36"/>
    </row>
    <row r="305">
      <c r="A305" s="31"/>
      <c r="B305" s="31"/>
      <c r="C305" s="37">
        <f>IF(B305="","",IFERROR(INDEX('Item master'!$B$2:$B$301,MATCH(B305,'Item master'!$A$2:$A$301,0))&amp;"",""))</f>
      </c>
      <c r="D305" s="31"/>
      <c r="E305" s="32"/>
      <c r="F305" s="38">
        <f>IF(OR(A305="",E305=""),"",IF(E305&lt;TODAY(),"Overdue",IF(E305&lt;=TODAY()+14,"Due in 14 days","OK")))</f>
      </c>
      <c r="G305" s="30"/>
      <c r="H305" s="38">
        <f>IF(A305="","",IF(COUNTIFS(Transactions!$E$2:$E$1001,A305,Transactions!$A$2:$A$1001,"Overdue")&gt;0,"Overdue",IF(COUNTIFS(Transactions!$E$2:$E$1001,A305,Transactions!$A$2:$A$1001,"Open")&gt;0,"Out","In")))</f>
      </c>
      <c r="I305" s="36"/>
    </row>
    <row r="306">
      <c r="A306" s="31"/>
      <c r="B306" s="31"/>
      <c r="C306" s="37">
        <f>IF(B306="","",IFERROR(INDEX('Item master'!$B$2:$B$301,MATCH(B306,'Item master'!$A$2:$A$301,0))&amp;"",""))</f>
      </c>
      <c r="D306" s="31"/>
      <c r="E306" s="32"/>
      <c r="F306" s="38">
        <f>IF(OR(A306="",E306=""),"",IF(E306&lt;TODAY(),"Overdue",IF(E306&lt;=TODAY()+14,"Due in 14 days","OK")))</f>
      </c>
      <c r="G306" s="30"/>
      <c r="H306" s="38">
        <f>IF(A306="","",IF(COUNTIFS(Transactions!$E$2:$E$1001,A306,Transactions!$A$2:$A$1001,"Overdue")&gt;0,"Overdue",IF(COUNTIFS(Transactions!$E$2:$E$1001,A306,Transactions!$A$2:$A$1001,"Open")&gt;0,"Out","In")))</f>
      </c>
      <c r="I306" s="36"/>
    </row>
    <row r="307">
      <c r="A307" s="31"/>
      <c r="B307" s="31"/>
      <c r="C307" s="37">
        <f>IF(B307="","",IFERROR(INDEX('Item master'!$B$2:$B$301,MATCH(B307,'Item master'!$A$2:$A$301,0))&amp;"",""))</f>
      </c>
      <c r="D307" s="31"/>
      <c r="E307" s="32"/>
      <c r="F307" s="38">
        <f>IF(OR(A307="",E307=""),"",IF(E307&lt;TODAY(),"Overdue",IF(E307&lt;=TODAY()+14,"Due in 14 days","OK")))</f>
      </c>
      <c r="G307" s="30"/>
      <c r="H307" s="38">
        <f>IF(A307="","",IF(COUNTIFS(Transactions!$E$2:$E$1001,A307,Transactions!$A$2:$A$1001,"Overdue")&gt;0,"Overdue",IF(COUNTIFS(Transactions!$E$2:$E$1001,A307,Transactions!$A$2:$A$1001,"Open")&gt;0,"Out","In")))</f>
      </c>
      <c r="I307" s="36"/>
    </row>
    <row r="308">
      <c r="A308" s="31"/>
      <c r="B308" s="31"/>
      <c r="C308" s="37">
        <f>IF(B308="","",IFERROR(INDEX('Item master'!$B$2:$B$301,MATCH(B308,'Item master'!$A$2:$A$301,0))&amp;"",""))</f>
      </c>
      <c r="D308" s="31"/>
      <c r="E308" s="32"/>
      <c r="F308" s="38">
        <f>IF(OR(A308="",E308=""),"",IF(E308&lt;TODAY(),"Overdue",IF(E308&lt;=TODAY()+14,"Due in 14 days","OK")))</f>
      </c>
      <c r="G308" s="30"/>
      <c r="H308" s="38">
        <f>IF(A308="","",IF(COUNTIFS(Transactions!$E$2:$E$1001,A308,Transactions!$A$2:$A$1001,"Overdue")&gt;0,"Overdue",IF(COUNTIFS(Transactions!$E$2:$E$1001,A308,Transactions!$A$2:$A$1001,"Open")&gt;0,"Out","In")))</f>
      </c>
      <c r="I308" s="36"/>
    </row>
    <row r="309">
      <c r="A309" s="31"/>
      <c r="B309" s="31"/>
      <c r="C309" s="37">
        <f>IF(B309="","",IFERROR(INDEX('Item master'!$B$2:$B$301,MATCH(B309,'Item master'!$A$2:$A$301,0))&amp;"",""))</f>
      </c>
      <c r="D309" s="31"/>
      <c r="E309" s="32"/>
      <c r="F309" s="38">
        <f>IF(OR(A309="",E309=""),"",IF(E309&lt;TODAY(),"Overdue",IF(E309&lt;=TODAY()+14,"Due in 14 days","OK")))</f>
      </c>
      <c r="G309" s="30"/>
      <c r="H309" s="38">
        <f>IF(A309="","",IF(COUNTIFS(Transactions!$E$2:$E$1001,A309,Transactions!$A$2:$A$1001,"Overdue")&gt;0,"Overdue",IF(COUNTIFS(Transactions!$E$2:$E$1001,A309,Transactions!$A$2:$A$1001,"Open")&gt;0,"Out","In")))</f>
      </c>
      <c r="I309" s="36"/>
    </row>
    <row r="310">
      <c r="A310" s="31"/>
      <c r="B310" s="31"/>
      <c r="C310" s="37">
        <f>IF(B310="","",IFERROR(INDEX('Item master'!$B$2:$B$301,MATCH(B310,'Item master'!$A$2:$A$301,0))&amp;"",""))</f>
      </c>
      <c r="D310" s="31"/>
      <c r="E310" s="32"/>
      <c r="F310" s="38">
        <f>IF(OR(A310="",E310=""),"",IF(E310&lt;TODAY(),"Overdue",IF(E310&lt;=TODAY()+14,"Due in 14 days","OK")))</f>
      </c>
      <c r="G310" s="30"/>
      <c r="H310" s="38">
        <f>IF(A310="","",IF(COUNTIFS(Transactions!$E$2:$E$1001,A310,Transactions!$A$2:$A$1001,"Overdue")&gt;0,"Overdue",IF(COUNTIFS(Transactions!$E$2:$E$1001,A310,Transactions!$A$2:$A$1001,"Open")&gt;0,"Out","In")))</f>
      </c>
      <c r="I310" s="36"/>
    </row>
    <row r="311">
      <c r="A311" s="31"/>
      <c r="B311" s="31"/>
      <c r="C311" s="37">
        <f>IF(B311="","",IFERROR(INDEX('Item master'!$B$2:$B$301,MATCH(B311,'Item master'!$A$2:$A$301,0))&amp;"",""))</f>
      </c>
      <c r="D311" s="31"/>
      <c r="E311" s="32"/>
      <c r="F311" s="38">
        <f>IF(OR(A311="",E311=""),"",IF(E311&lt;TODAY(),"Overdue",IF(E311&lt;=TODAY()+14,"Due in 14 days","OK")))</f>
      </c>
      <c r="G311" s="30"/>
      <c r="H311" s="38">
        <f>IF(A311="","",IF(COUNTIFS(Transactions!$E$2:$E$1001,A311,Transactions!$A$2:$A$1001,"Overdue")&gt;0,"Overdue",IF(COUNTIFS(Transactions!$E$2:$E$1001,A311,Transactions!$A$2:$A$1001,"Open")&gt;0,"Out","In")))</f>
      </c>
      <c r="I311" s="36"/>
    </row>
    <row r="312">
      <c r="A312" s="31"/>
      <c r="B312" s="31"/>
      <c r="C312" s="37">
        <f>IF(B312="","",IFERROR(INDEX('Item master'!$B$2:$B$301,MATCH(B312,'Item master'!$A$2:$A$301,0))&amp;"",""))</f>
      </c>
      <c r="D312" s="31"/>
      <c r="E312" s="32"/>
      <c r="F312" s="38">
        <f>IF(OR(A312="",E312=""),"",IF(E312&lt;TODAY(),"Overdue",IF(E312&lt;=TODAY()+14,"Due in 14 days","OK")))</f>
      </c>
      <c r="G312" s="30"/>
      <c r="H312" s="38">
        <f>IF(A312="","",IF(COUNTIFS(Transactions!$E$2:$E$1001,A312,Transactions!$A$2:$A$1001,"Overdue")&gt;0,"Overdue",IF(COUNTIFS(Transactions!$E$2:$E$1001,A312,Transactions!$A$2:$A$1001,"Open")&gt;0,"Out","In")))</f>
      </c>
      <c r="I312" s="36"/>
    </row>
    <row r="313">
      <c r="A313" s="31"/>
      <c r="B313" s="31"/>
      <c r="C313" s="37">
        <f>IF(B313="","",IFERROR(INDEX('Item master'!$B$2:$B$301,MATCH(B313,'Item master'!$A$2:$A$301,0))&amp;"",""))</f>
      </c>
      <c r="D313" s="31"/>
      <c r="E313" s="32"/>
      <c r="F313" s="38">
        <f>IF(OR(A313="",E313=""),"",IF(E313&lt;TODAY(),"Overdue",IF(E313&lt;=TODAY()+14,"Due in 14 days","OK")))</f>
      </c>
      <c r="G313" s="30"/>
      <c r="H313" s="38">
        <f>IF(A313="","",IF(COUNTIFS(Transactions!$E$2:$E$1001,A313,Transactions!$A$2:$A$1001,"Overdue")&gt;0,"Overdue",IF(COUNTIFS(Transactions!$E$2:$E$1001,A313,Transactions!$A$2:$A$1001,"Open")&gt;0,"Out","In")))</f>
      </c>
      <c r="I313" s="36"/>
    </row>
    <row r="314">
      <c r="A314" s="31"/>
      <c r="B314" s="31"/>
      <c r="C314" s="37">
        <f>IF(B314="","",IFERROR(INDEX('Item master'!$B$2:$B$301,MATCH(B314,'Item master'!$A$2:$A$301,0))&amp;"",""))</f>
      </c>
      <c r="D314" s="31"/>
      <c r="E314" s="32"/>
      <c r="F314" s="38">
        <f>IF(OR(A314="",E314=""),"",IF(E314&lt;TODAY(),"Overdue",IF(E314&lt;=TODAY()+14,"Due in 14 days","OK")))</f>
      </c>
      <c r="G314" s="30"/>
      <c r="H314" s="38">
        <f>IF(A314="","",IF(COUNTIFS(Transactions!$E$2:$E$1001,A314,Transactions!$A$2:$A$1001,"Overdue")&gt;0,"Overdue",IF(COUNTIFS(Transactions!$E$2:$E$1001,A314,Transactions!$A$2:$A$1001,"Open")&gt;0,"Out","In")))</f>
      </c>
      <c r="I314" s="36"/>
    </row>
    <row r="315">
      <c r="A315" s="31"/>
      <c r="B315" s="31"/>
      <c r="C315" s="37">
        <f>IF(B315="","",IFERROR(INDEX('Item master'!$B$2:$B$301,MATCH(B315,'Item master'!$A$2:$A$301,0))&amp;"",""))</f>
      </c>
      <c r="D315" s="31"/>
      <c r="E315" s="32"/>
      <c r="F315" s="38">
        <f>IF(OR(A315="",E315=""),"",IF(E315&lt;TODAY(),"Overdue",IF(E315&lt;=TODAY()+14,"Due in 14 days","OK")))</f>
      </c>
      <c r="G315" s="30"/>
      <c r="H315" s="38">
        <f>IF(A315="","",IF(COUNTIFS(Transactions!$E$2:$E$1001,A315,Transactions!$A$2:$A$1001,"Overdue")&gt;0,"Overdue",IF(COUNTIFS(Transactions!$E$2:$E$1001,A315,Transactions!$A$2:$A$1001,"Open")&gt;0,"Out","In")))</f>
      </c>
      <c r="I315" s="36"/>
    </row>
    <row r="316">
      <c r="A316" s="31"/>
      <c r="B316" s="31"/>
      <c r="C316" s="37">
        <f>IF(B316="","",IFERROR(INDEX('Item master'!$B$2:$B$301,MATCH(B316,'Item master'!$A$2:$A$301,0))&amp;"",""))</f>
      </c>
      <c r="D316" s="31"/>
      <c r="E316" s="32"/>
      <c r="F316" s="38">
        <f>IF(OR(A316="",E316=""),"",IF(E316&lt;TODAY(),"Overdue",IF(E316&lt;=TODAY()+14,"Due in 14 days","OK")))</f>
      </c>
      <c r="G316" s="30"/>
      <c r="H316" s="38">
        <f>IF(A316="","",IF(COUNTIFS(Transactions!$E$2:$E$1001,A316,Transactions!$A$2:$A$1001,"Overdue")&gt;0,"Overdue",IF(COUNTIFS(Transactions!$E$2:$E$1001,A316,Transactions!$A$2:$A$1001,"Open")&gt;0,"Out","In")))</f>
      </c>
      <c r="I316" s="36"/>
    </row>
    <row r="317">
      <c r="A317" s="31"/>
      <c r="B317" s="31"/>
      <c r="C317" s="37">
        <f>IF(B317="","",IFERROR(INDEX('Item master'!$B$2:$B$301,MATCH(B317,'Item master'!$A$2:$A$301,0))&amp;"",""))</f>
      </c>
      <c r="D317" s="31"/>
      <c r="E317" s="32"/>
      <c r="F317" s="38">
        <f>IF(OR(A317="",E317=""),"",IF(E317&lt;TODAY(),"Overdue",IF(E317&lt;=TODAY()+14,"Due in 14 days","OK")))</f>
      </c>
      <c r="G317" s="30"/>
      <c r="H317" s="38">
        <f>IF(A317="","",IF(COUNTIFS(Transactions!$E$2:$E$1001,A317,Transactions!$A$2:$A$1001,"Overdue")&gt;0,"Overdue",IF(COUNTIFS(Transactions!$E$2:$E$1001,A317,Transactions!$A$2:$A$1001,"Open")&gt;0,"Out","In")))</f>
      </c>
      <c r="I317" s="36"/>
    </row>
    <row r="318">
      <c r="A318" s="31"/>
      <c r="B318" s="31"/>
      <c r="C318" s="37">
        <f>IF(B318="","",IFERROR(INDEX('Item master'!$B$2:$B$301,MATCH(B318,'Item master'!$A$2:$A$301,0))&amp;"",""))</f>
      </c>
      <c r="D318" s="31"/>
      <c r="E318" s="32"/>
      <c r="F318" s="38">
        <f>IF(OR(A318="",E318=""),"",IF(E318&lt;TODAY(),"Overdue",IF(E318&lt;=TODAY()+14,"Due in 14 days","OK")))</f>
      </c>
      <c r="G318" s="30"/>
      <c r="H318" s="38">
        <f>IF(A318="","",IF(COUNTIFS(Transactions!$E$2:$E$1001,A318,Transactions!$A$2:$A$1001,"Overdue")&gt;0,"Overdue",IF(COUNTIFS(Transactions!$E$2:$E$1001,A318,Transactions!$A$2:$A$1001,"Open")&gt;0,"Out","In")))</f>
      </c>
      <c r="I318" s="36"/>
    </row>
    <row r="319">
      <c r="A319" s="31"/>
      <c r="B319" s="31"/>
      <c r="C319" s="37">
        <f>IF(B319="","",IFERROR(INDEX('Item master'!$B$2:$B$301,MATCH(B319,'Item master'!$A$2:$A$301,0))&amp;"",""))</f>
      </c>
      <c r="D319" s="31"/>
      <c r="E319" s="32"/>
      <c r="F319" s="38">
        <f>IF(OR(A319="",E319=""),"",IF(E319&lt;TODAY(),"Overdue",IF(E319&lt;=TODAY()+14,"Due in 14 days","OK")))</f>
      </c>
      <c r="G319" s="30"/>
      <c r="H319" s="38">
        <f>IF(A319="","",IF(COUNTIFS(Transactions!$E$2:$E$1001,A319,Transactions!$A$2:$A$1001,"Overdue")&gt;0,"Overdue",IF(COUNTIFS(Transactions!$E$2:$E$1001,A319,Transactions!$A$2:$A$1001,"Open")&gt;0,"Out","In")))</f>
      </c>
      <c r="I319" s="36"/>
    </row>
    <row r="320">
      <c r="A320" s="31"/>
      <c r="B320" s="31"/>
      <c r="C320" s="37">
        <f>IF(B320="","",IFERROR(INDEX('Item master'!$B$2:$B$301,MATCH(B320,'Item master'!$A$2:$A$301,0))&amp;"",""))</f>
      </c>
      <c r="D320" s="31"/>
      <c r="E320" s="32"/>
      <c r="F320" s="38">
        <f>IF(OR(A320="",E320=""),"",IF(E320&lt;TODAY(),"Overdue",IF(E320&lt;=TODAY()+14,"Due in 14 days","OK")))</f>
      </c>
      <c r="G320" s="30"/>
      <c r="H320" s="38">
        <f>IF(A320="","",IF(COUNTIFS(Transactions!$E$2:$E$1001,A320,Transactions!$A$2:$A$1001,"Overdue")&gt;0,"Overdue",IF(COUNTIFS(Transactions!$E$2:$E$1001,A320,Transactions!$A$2:$A$1001,"Open")&gt;0,"Out","In")))</f>
      </c>
      <c r="I320" s="36"/>
    </row>
    <row r="321">
      <c r="A321" s="31"/>
      <c r="B321" s="31"/>
      <c r="C321" s="37">
        <f>IF(B321="","",IFERROR(INDEX('Item master'!$B$2:$B$301,MATCH(B321,'Item master'!$A$2:$A$301,0))&amp;"",""))</f>
      </c>
      <c r="D321" s="31"/>
      <c r="E321" s="32"/>
      <c r="F321" s="38">
        <f>IF(OR(A321="",E321=""),"",IF(E321&lt;TODAY(),"Overdue",IF(E321&lt;=TODAY()+14,"Due in 14 days","OK")))</f>
      </c>
      <c r="G321" s="30"/>
      <c r="H321" s="38">
        <f>IF(A321="","",IF(COUNTIFS(Transactions!$E$2:$E$1001,A321,Transactions!$A$2:$A$1001,"Overdue")&gt;0,"Overdue",IF(COUNTIFS(Transactions!$E$2:$E$1001,A321,Transactions!$A$2:$A$1001,"Open")&gt;0,"Out","In")))</f>
      </c>
      <c r="I321" s="36"/>
    </row>
    <row r="322">
      <c r="A322" s="31"/>
      <c r="B322" s="31"/>
      <c r="C322" s="37">
        <f>IF(B322="","",IFERROR(INDEX('Item master'!$B$2:$B$301,MATCH(B322,'Item master'!$A$2:$A$301,0))&amp;"",""))</f>
      </c>
      <c r="D322" s="31"/>
      <c r="E322" s="32"/>
      <c r="F322" s="38">
        <f>IF(OR(A322="",E322=""),"",IF(E322&lt;TODAY(),"Overdue",IF(E322&lt;=TODAY()+14,"Due in 14 days","OK")))</f>
      </c>
      <c r="G322" s="30"/>
      <c r="H322" s="38">
        <f>IF(A322="","",IF(COUNTIFS(Transactions!$E$2:$E$1001,A322,Transactions!$A$2:$A$1001,"Overdue")&gt;0,"Overdue",IF(COUNTIFS(Transactions!$E$2:$E$1001,A322,Transactions!$A$2:$A$1001,"Open")&gt;0,"Out","In")))</f>
      </c>
      <c r="I322" s="36"/>
    </row>
    <row r="323">
      <c r="A323" s="31"/>
      <c r="B323" s="31"/>
      <c r="C323" s="37">
        <f>IF(B323="","",IFERROR(INDEX('Item master'!$B$2:$B$301,MATCH(B323,'Item master'!$A$2:$A$301,0))&amp;"",""))</f>
      </c>
      <c r="D323" s="31"/>
      <c r="E323" s="32"/>
      <c r="F323" s="38">
        <f>IF(OR(A323="",E323=""),"",IF(E323&lt;TODAY(),"Overdue",IF(E323&lt;=TODAY()+14,"Due in 14 days","OK")))</f>
      </c>
      <c r="G323" s="30"/>
      <c r="H323" s="38">
        <f>IF(A323="","",IF(COUNTIFS(Transactions!$E$2:$E$1001,A323,Transactions!$A$2:$A$1001,"Overdue")&gt;0,"Overdue",IF(COUNTIFS(Transactions!$E$2:$E$1001,A323,Transactions!$A$2:$A$1001,"Open")&gt;0,"Out","In")))</f>
      </c>
      <c r="I323" s="36"/>
    </row>
    <row r="324">
      <c r="A324" s="31"/>
      <c r="B324" s="31"/>
      <c r="C324" s="37">
        <f>IF(B324="","",IFERROR(INDEX('Item master'!$B$2:$B$301,MATCH(B324,'Item master'!$A$2:$A$301,0))&amp;"",""))</f>
      </c>
      <c r="D324" s="31"/>
      <c r="E324" s="32"/>
      <c r="F324" s="38">
        <f>IF(OR(A324="",E324=""),"",IF(E324&lt;TODAY(),"Overdue",IF(E324&lt;=TODAY()+14,"Due in 14 days","OK")))</f>
      </c>
      <c r="G324" s="30"/>
      <c r="H324" s="38">
        <f>IF(A324="","",IF(COUNTIFS(Transactions!$E$2:$E$1001,A324,Transactions!$A$2:$A$1001,"Overdue")&gt;0,"Overdue",IF(COUNTIFS(Transactions!$E$2:$E$1001,A324,Transactions!$A$2:$A$1001,"Open")&gt;0,"Out","In")))</f>
      </c>
      <c r="I324" s="36"/>
    </row>
    <row r="325">
      <c r="A325" s="31"/>
      <c r="B325" s="31"/>
      <c r="C325" s="37">
        <f>IF(B325="","",IFERROR(INDEX('Item master'!$B$2:$B$301,MATCH(B325,'Item master'!$A$2:$A$301,0))&amp;"",""))</f>
      </c>
      <c r="D325" s="31"/>
      <c r="E325" s="32"/>
      <c r="F325" s="38">
        <f>IF(OR(A325="",E325=""),"",IF(E325&lt;TODAY(),"Overdue",IF(E325&lt;=TODAY()+14,"Due in 14 days","OK")))</f>
      </c>
      <c r="G325" s="30"/>
      <c r="H325" s="38">
        <f>IF(A325="","",IF(COUNTIFS(Transactions!$E$2:$E$1001,A325,Transactions!$A$2:$A$1001,"Overdue")&gt;0,"Overdue",IF(COUNTIFS(Transactions!$E$2:$E$1001,A325,Transactions!$A$2:$A$1001,"Open")&gt;0,"Out","In")))</f>
      </c>
      <c r="I325" s="36"/>
    </row>
    <row r="326">
      <c r="A326" s="31"/>
      <c r="B326" s="31"/>
      <c r="C326" s="37">
        <f>IF(B326="","",IFERROR(INDEX('Item master'!$B$2:$B$301,MATCH(B326,'Item master'!$A$2:$A$301,0))&amp;"",""))</f>
      </c>
      <c r="D326" s="31"/>
      <c r="E326" s="32"/>
      <c r="F326" s="38">
        <f>IF(OR(A326="",E326=""),"",IF(E326&lt;TODAY(),"Overdue",IF(E326&lt;=TODAY()+14,"Due in 14 days","OK")))</f>
      </c>
      <c r="G326" s="30"/>
      <c r="H326" s="38">
        <f>IF(A326="","",IF(COUNTIFS(Transactions!$E$2:$E$1001,A326,Transactions!$A$2:$A$1001,"Overdue")&gt;0,"Overdue",IF(COUNTIFS(Transactions!$E$2:$E$1001,A326,Transactions!$A$2:$A$1001,"Open")&gt;0,"Out","In")))</f>
      </c>
      <c r="I326" s="36"/>
    </row>
    <row r="327">
      <c r="A327" s="31"/>
      <c r="B327" s="31"/>
      <c r="C327" s="37">
        <f>IF(B327="","",IFERROR(INDEX('Item master'!$B$2:$B$301,MATCH(B327,'Item master'!$A$2:$A$301,0))&amp;"",""))</f>
      </c>
      <c r="D327" s="31"/>
      <c r="E327" s="32"/>
      <c r="F327" s="38">
        <f>IF(OR(A327="",E327=""),"",IF(E327&lt;TODAY(),"Overdue",IF(E327&lt;=TODAY()+14,"Due in 14 days","OK")))</f>
      </c>
      <c r="G327" s="30"/>
      <c r="H327" s="38">
        <f>IF(A327="","",IF(COUNTIFS(Transactions!$E$2:$E$1001,A327,Transactions!$A$2:$A$1001,"Overdue")&gt;0,"Overdue",IF(COUNTIFS(Transactions!$E$2:$E$1001,A327,Transactions!$A$2:$A$1001,"Open")&gt;0,"Out","In")))</f>
      </c>
      <c r="I327" s="36"/>
    </row>
    <row r="328">
      <c r="A328" s="31"/>
      <c r="B328" s="31"/>
      <c r="C328" s="37">
        <f>IF(B328="","",IFERROR(INDEX('Item master'!$B$2:$B$301,MATCH(B328,'Item master'!$A$2:$A$301,0))&amp;"",""))</f>
      </c>
      <c r="D328" s="31"/>
      <c r="E328" s="32"/>
      <c r="F328" s="38">
        <f>IF(OR(A328="",E328=""),"",IF(E328&lt;TODAY(),"Overdue",IF(E328&lt;=TODAY()+14,"Due in 14 days","OK")))</f>
      </c>
      <c r="G328" s="30"/>
      <c r="H328" s="38">
        <f>IF(A328="","",IF(COUNTIFS(Transactions!$E$2:$E$1001,A328,Transactions!$A$2:$A$1001,"Overdue")&gt;0,"Overdue",IF(COUNTIFS(Transactions!$E$2:$E$1001,A328,Transactions!$A$2:$A$1001,"Open")&gt;0,"Out","In")))</f>
      </c>
      <c r="I328" s="36"/>
    </row>
    <row r="329">
      <c r="A329" s="31"/>
      <c r="B329" s="31"/>
      <c r="C329" s="37">
        <f>IF(B329="","",IFERROR(INDEX('Item master'!$B$2:$B$301,MATCH(B329,'Item master'!$A$2:$A$301,0))&amp;"",""))</f>
      </c>
      <c r="D329" s="31"/>
      <c r="E329" s="32"/>
      <c r="F329" s="38">
        <f>IF(OR(A329="",E329=""),"",IF(E329&lt;TODAY(),"Overdue",IF(E329&lt;=TODAY()+14,"Due in 14 days","OK")))</f>
      </c>
      <c r="G329" s="30"/>
      <c r="H329" s="38">
        <f>IF(A329="","",IF(COUNTIFS(Transactions!$E$2:$E$1001,A329,Transactions!$A$2:$A$1001,"Overdue")&gt;0,"Overdue",IF(COUNTIFS(Transactions!$E$2:$E$1001,A329,Transactions!$A$2:$A$1001,"Open")&gt;0,"Out","In")))</f>
      </c>
      <c r="I329" s="36"/>
    </row>
    <row r="330">
      <c r="A330" s="31"/>
      <c r="B330" s="31"/>
      <c r="C330" s="37">
        <f>IF(B330="","",IFERROR(INDEX('Item master'!$B$2:$B$301,MATCH(B330,'Item master'!$A$2:$A$301,0))&amp;"",""))</f>
      </c>
      <c r="D330" s="31"/>
      <c r="E330" s="32"/>
      <c r="F330" s="38">
        <f>IF(OR(A330="",E330=""),"",IF(E330&lt;TODAY(),"Overdue",IF(E330&lt;=TODAY()+14,"Due in 14 days","OK")))</f>
      </c>
      <c r="G330" s="30"/>
      <c r="H330" s="38">
        <f>IF(A330="","",IF(COUNTIFS(Transactions!$E$2:$E$1001,A330,Transactions!$A$2:$A$1001,"Overdue")&gt;0,"Overdue",IF(COUNTIFS(Transactions!$E$2:$E$1001,A330,Transactions!$A$2:$A$1001,"Open")&gt;0,"Out","In")))</f>
      </c>
      <c r="I330" s="36"/>
    </row>
    <row r="331">
      <c r="A331" s="31"/>
      <c r="B331" s="31"/>
      <c r="C331" s="37">
        <f>IF(B331="","",IFERROR(INDEX('Item master'!$B$2:$B$301,MATCH(B331,'Item master'!$A$2:$A$301,0))&amp;"",""))</f>
      </c>
      <c r="D331" s="31"/>
      <c r="E331" s="32"/>
      <c r="F331" s="38">
        <f>IF(OR(A331="",E331=""),"",IF(E331&lt;TODAY(),"Overdue",IF(E331&lt;=TODAY()+14,"Due in 14 days","OK")))</f>
      </c>
      <c r="G331" s="30"/>
      <c r="H331" s="38">
        <f>IF(A331="","",IF(COUNTIFS(Transactions!$E$2:$E$1001,A331,Transactions!$A$2:$A$1001,"Overdue")&gt;0,"Overdue",IF(COUNTIFS(Transactions!$E$2:$E$1001,A331,Transactions!$A$2:$A$1001,"Open")&gt;0,"Out","In")))</f>
      </c>
      <c r="I331" s="36"/>
    </row>
    <row r="332">
      <c r="A332" s="31"/>
      <c r="B332" s="31"/>
      <c r="C332" s="37">
        <f>IF(B332="","",IFERROR(INDEX('Item master'!$B$2:$B$301,MATCH(B332,'Item master'!$A$2:$A$301,0))&amp;"",""))</f>
      </c>
      <c r="D332" s="31"/>
      <c r="E332" s="32"/>
      <c r="F332" s="38">
        <f>IF(OR(A332="",E332=""),"",IF(E332&lt;TODAY(),"Overdue",IF(E332&lt;=TODAY()+14,"Due in 14 days","OK")))</f>
      </c>
      <c r="G332" s="30"/>
      <c r="H332" s="38">
        <f>IF(A332="","",IF(COUNTIFS(Transactions!$E$2:$E$1001,A332,Transactions!$A$2:$A$1001,"Overdue")&gt;0,"Overdue",IF(COUNTIFS(Transactions!$E$2:$E$1001,A332,Transactions!$A$2:$A$1001,"Open")&gt;0,"Out","In")))</f>
      </c>
      <c r="I332" s="36"/>
    </row>
    <row r="333">
      <c r="A333" s="31"/>
      <c r="B333" s="31"/>
      <c r="C333" s="37">
        <f>IF(B333="","",IFERROR(INDEX('Item master'!$B$2:$B$301,MATCH(B333,'Item master'!$A$2:$A$301,0))&amp;"",""))</f>
      </c>
      <c r="D333" s="31"/>
      <c r="E333" s="32"/>
      <c r="F333" s="38">
        <f>IF(OR(A333="",E333=""),"",IF(E333&lt;TODAY(),"Overdue",IF(E333&lt;=TODAY()+14,"Due in 14 days","OK")))</f>
      </c>
      <c r="G333" s="30"/>
      <c r="H333" s="38">
        <f>IF(A333="","",IF(COUNTIFS(Transactions!$E$2:$E$1001,A333,Transactions!$A$2:$A$1001,"Overdue")&gt;0,"Overdue",IF(COUNTIFS(Transactions!$E$2:$E$1001,A333,Transactions!$A$2:$A$1001,"Open")&gt;0,"Out","In")))</f>
      </c>
      <c r="I333" s="36"/>
    </row>
    <row r="334">
      <c r="A334" s="31"/>
      <c r="B334" s="31"/>
      <c r="C334" s="37">
        <f>IF(B334="","",IFERROR(INDEX('Item master'!$B$2:$B$301,MATCH(B334,'Item master'!$A$2:$A$301,0))&amp;"",""))</f>
      </c>
      <c r="D334" s="31"/>
      <c r="E334" s="32"/>
      <c r="F334" s="38">
        <f>IF(OR(A334="",E334=""),"",IF(E334&lt;TODAY(),"Overdue",IF(E334&lt;=TODAY()+14,"Due in 14 days","OK")))</f>
      </c>
      <c r="G334" s="30"/>
      <c r="H334" s="38">
        <f>IF(A334="","",IF(COUNTIFS(Transactions!$E$2:$E$1001,A334,Transactions!$A$2:$A$1001,"Overdue")&gt;0,"Overdue",IF(COUNTIFS(Transactions!$E$2:$E$1001,A334,Transactions!$A$2:$A$1001,"Open")&gt;0,"Out","In")))</f>
      </c>
      <c r="I334" s="36"/>
    </row>
    <row r="335">
      <c r="A335" s="31"/>
      <c r="B335" s="31"/>
      <c r="C335" s="37">
        <f>IF(B335="","",IFERROR(INDEX('Item master'!$B$2:$B$301,MATCH(B335,'Item master'!$A$2:$A$301,0))&amp;"",""))</f>
      </c>
      <c r="D335" s="31"/>
      <c r="E335" s="32"/>
      <c r="F335" s="38">
        <f>IF(OR(A335="",E335=""),"",IF(E335&lt;TODAY(),"Overdue",IF(E335&lt;=TODAY()+14,"Due in 14 days","OK")))</f>
      </c>
      <c r="G335" s="30"/>
      <c r="H335" s="38">
        <f>IF(A335="","",IF(COUNTIFS(Transactions!$E$2:$E$1001,A335,Transactions!$A$2:$A$1001,"Overdue")&gt;0,"Overdue",IF(COUNTIFS(Transactions!$E$2:$E$1001,A335,Transactions!$A$2:$A$1001,"Open")&gt;0,"Out","In")))</f>
      </c>
      <c r="I335" s="36"/>
    </row>
    <row r="336">
      <c r="A336" s="31"/>
      <c r="B336" s="31"/>
      <c r="C336" s="37">
        <f>IF(B336="","",IFERROR(INDEX('Item master'!$B$2:$B$301,MATCH(B336,'Item master'!$A$2:$A$301,0))&amp;"",""))</f>
      </c>
      <c r="D336" s="31"/>
      <c r="E336" s="32"/>
      <c r="F336" s="38">
        <f>IF(OR(A336="",E336=""),"",IF(E336&lt;TODAY(),"Overdue",IF(E336&lt;=TODAY()+14,"Due in 14 days","OK")))</f>
      </c>
      <c r="G336" s="30"/>
      <c r="H336" s="38">
        <f>IF(A336="","",IF(COUNTIFS(Transactions!$E$2:$E$1001,A336,Transactions!$A$2:$A$1001,"Overdue")&gt;0,"Overdue",IF(COUNTIFS(Transactions!$E$2:$E$1001,A336,Transactions!$A$2:$A$1001,"Open")&gt;0,"Out","In")))</f>
      </c>
      <c r="I336" s="36"/>
    </row>
    <row r="337">
      <c r="A337" s="31"/>
      <c r="B337" s="31"/>
      <c r="C337" s="37">
        <f>IF(B337="","",IFERROR(INDEX('Item master'!$B$2:$B$301,MATCH(B337,'Item master'!$A$2:$A$301,0))&amp;"",""))</f>
      </c>
      <c r="D337" s="31"/>
      <c r="E337" s="32"/>
      <c r="F337" s="38">
        <f>IF(OR(A337="",E337=""),"",IF(E337&lt;TODAY(),"Overdue",IF(E337&lt;=TODAY()+14,"Due in 14 days","OK")))</f>
      </c>
      <c r="G337" s="30"/>
      <c r="H337" s="38">
        <f>IF(A337="","",IF(COUNTIFS(Transactions!$E$2:$E$1001,A337,Transactions!$A$2:$A$1001,"Overdue")&gt;0,"Overdue",IF(COUNTIFS(Transactions!$E$2:$E$1001,A337,Transactions!$A$2:$A$1001,"Open")&gt;0,"Out","In")))</f>
      </c>
      <c r="I337" s="36"/>
    </row>
    <row r="338">
      <c r="A338" s="31"/>
      <c r="B338" s="31"/>
      <c r="C338" s="37">
        <f>IF(B338="","",IFERROR(INDEX('Item master'!$B$2:$B$301,MATCH(B338,'Item master'!$A$2:$A$301,0))&amp;"",""))</f>
      </c>
      <c r="D338" s="31"/>
      <c r="E338" s="32"/>
      <c r="F338" s="38">
        <f>IF(OR(A338="",E338=""),"",IF(E338&lt;TODAY(),"Overdue",IF(E338&lt;=TODAY()+14,"Due in 14 days","OK")))</f>
      </c>
      <c r="G338" s="30"/>
      <c r="H338" s="38">
        <f>IF(A338="","",IF(COUNTIFS(Transactions!$E$2:$E$1001,A338,Transactions!$A$2:$A$1001,"Overdue")&gt;0,"Overdue",IF(COUNTIFS(Transactions!$E$2:$E$1001,A338,Transactions!$A$2:$A$1001,"Open")&gt;0,"Out","In")))</f>
      </c>
      <c r="I338" s="36"/>
    </row>
    <row r="339">
      <c r="A339" s="31"/>
      <c r="B339" s="31"/>
      <c r="C339" s="37">
        <f>IF(B339="","",IFERROR(INDEX('Item master'!$B$2:$B$301,MATCH(B339,'Item master'!$A$2:$A$301,0))&amp;"",""))</f>
      </c>
      <c r="D339" s="31"/>
      <c r="E339" s="32"/>
      <c r="F339" s="38">
        <f>IF(OR(A339="",E339=""),"",IF(E339&lt;TODAY(),"Overdue",IF(E339&lt;=TODAY()+14,"Due in 14 days","OK")))</f>
      </c>
      <c r="G339" s="30"/>
      <c r="H339" s="38">
        <f>IF(A339="","",IF(COUNTIFS(Transactions!$E$2:$E$1001,A339,Transactions!$A$2:$A$1001,"Overdue")&gt;0,"Overdue",IF(COUNTIFS(Transactions!$E$2:$E$1001,A339,Transactions!$A$2:$A$1001,"Open")&gt;0,"Out","In")))</f>
      </c>
      <c r="I339" s="36"/>
    </row>
    <row r="340">
      <c r="A340" s="31"/>
      <c r="B340" s="31"/>
      <c r="C340" s="37">
        <f>IF(B340="","",IFERROR(INDEX('Item master'!$B$2:$B$301,MATCH(B340,'Item master'!$A$2:$A$301,0))&amp;"",""))</f>
      </c>
      <c r="D340" s="31"/>
      <c r="E340" s="32"/>
      <c r="F340" s="38">
        <f>IF(OR(A340="",E340=""),"",IF(E340&lt;TODAY(),"Overdue",IF(E340&lt;=TODAY()+14,"Due in 14 days","OK")))</f>
      </c>
      <c r="G340" s="30"/>
      <c r="H340" s="38">
        <f>IF(A340="","",IF(COUNTIFS(Transactions!$E$2:$E$1001,A340,Transactions!$A$2:$A$1001,"Overdue")&gt;0,"Overdue",IF(COUNTIFS(Transactions!$E$2:$E$1001,A340,Transactions!$A$2:$A$1001,"Open")&gt;0,"Out","In")))</f>
      </c>
      <c r="I340" s="36"/>
    </row>
    <row r="341">
      <c r="A341" s="31"/>
      <c r="B341" s="31"/>
      <c r="C341" s="37">
        <f>IF(B341="","",IFERROR(INDEX('Item master'!$B$2:$B$301,MATCH(B341,'Item master'!$A$2:$A$301,0))&amp;"",""))</f>
      </c>
      <c r="D341" s="31"/>
      <c r="E341" s="32"/>
      <c r="F341" s="38">
        <f>IF(OR(A341="",E341=""),"",IF(E341&lt;TODAY(),"Overdue",IF(E341&lt;=TODAY()+14,"Due in 14 days","OK")))</f>
      </c>
      <c r="G341" s="30"/>
      <c r="H341" s="38">
        <f>IF(A341="","",IF(COUNTIFS(Transactions!$E$2:$E$1001,A341,Transactions!$A$2:$A$1001,"Overdue")&gt;0,"Overdue",IF(COUNTIFS(Transactions!$E$2:$E$1001,A341,Transactions!$A$2:$A$1001,"Open")&gt;0,"Out","In")))</f>
      </c>
      <c r="I341" s="36"/>
    </row>
    <row r="342">
      <c r="A342" s="31"/>
      <c r="B342" s="31"/>
      <c r="C342" s="37">
        <f>IF(B342="","",IFERROR(INDEX('Item master'!$B$2:$B$301,MATCH(B342,'Item master'!$A$2:$A$301,0))&amp;"",""))</f>
      </c>
      <c r="D342" s="31"/>
      <c r="E342" s="32"/>
      <c r="F342" s="38">
        <f>IF(OR(A342="",E342=""),"",IF(E342&lt;TODAY(),"Overdue",IF(E342&lt;=TODAY()+14,"Due in 14 days","OK")))</f>
      </c>
      <c r="G342" s="30"/>
      <c r="H342" s="38">
        <f>IF(A342="","",IF(COUNTIFS(Transactions!$E$2:$E$1001,A342,Transactions!$A$2:$A$1001,"Overdue")&gt;0,"Overdue",IF(COUNTIFS(Transactions!$E$2:$E$1001,A342,Transactions!$A$2:$A$1001,"Open")&gt;0,"Out","In")))</f>
      </c>
      <c r="I342" s="36"/>
    </row>
    <row r="343">
      <c r="A343" s="31"/>
      <c r="B343" s="31"/>
      <c r="C343" s="37">
        <f>IF(B343="","",IFERROR(INDEX('Item master'!$B$2:$B$301,MATCH(B343,'Item master'!$A$2:$A$301,0))&amp;"",""))</f>
      </c>
      <c r="D343" s="31"/>
      <c r="E343" s="32"/>
      <c r="F343" s="38">
        <f>IF(OR(A343="",E343=""),"",IF(E343&lt;TODAY(),"Overdue",IF(E343&lt;=TODAY()+14,"Due in 14 days","OK")))</f>
      </c>
      <c r="G343" s="30"/>
      <c r="H343" s="38">
        <f>IF(A343="","",IF(COUNTIFS(Transactions!$E$2:$E$1001,A343,Transactions!$A$2:$A$1001,"Overdue")&gt;0,"Overdue",IF(COUNTIFS(Transactions!$E$2:$E$1001,A343,Transactions!$A$2:$A$1001,"Open")&gt;0,"Out","In")))</f>
      </c>
      <c r="I343" s="36"/>
    </row>
    <row r="344">
      <c r="A344" s="31"/>
      <c r="B344" s="31"/>
      <c r="C344" s="37">
        <f>IF(B344="","",IFERROR(INDEX('Item master'!$B$2:$B$301,MATCH(B344,'Item master'!$A$2:$A$301,0))&amp;"",""))</f>
      </c>
      <c r="D344" s="31"/>
      <c r="E344" s="32"/>
      <c r="F344" s="38">
        <f>IF(OR(A344="",E344=""),"",IF(E344&lt;TODAY(),"Overdue",IF(E344&lt;=TODAY()+14,"Due in 14 days","OK")))</f>
      </c>
      <c r="G344" s="30"/>
      <c r="H344" s="38">
        <f>IF(A344="","",IF(COUNTIFS(Transactions!$E$2:$E$1001,A344,Transactions!$A$2:$A$1001,"Overdue")&gt;0,"Overdue",IF(COUNTIFS(Transactions!$E$2:$E$1001,A344,Transactions!$A$2:$A$1001,"Open")&gt;0,"Out","In")))</f>
      </c>
      <c r="I344" s="36"/>
    </row>
    <row r="345">
      <c r="A345" s="31"/>
      <c r="B345" s="31"/>
      <c r="C345" s="37">
        <f>IF(B345="","",IFERROR(INDEX('Item master'!$B$2:$B$301,MATCH(B345,'Item master'!$A$2:$A$301,0))&amp;"",""))</f>
      </c>
      <c r="D345" s="31"/>
      <c r="E345" s="32"/>
      <c r="F345" s="38">
        <f>IF(OR(A345="",E345=""),"",IF(E345&lt;TODAY(),"Overdue",IF(E345&lt;=TODAY()+14,"Due in 14 days","OK")))</f>
      </c>
      <c r="G345" s="30"/>
      <c r="H345" s="38">
        <f>IF(A345="","",IF(COUNTIFS(Transactions!$E$2:$E$1001,A345,Transactions!$A$2:$A$1001,"Overdue")&gt;0,"Overdue",IF(COUNTIFS(Transactions!$E$2:$E$1001,A345,Transactions!$A$2:$A$1001,"Open")&gt;0,"Out","In")))</f>
      </c>
      <c r="I345" s="36"/>
    </row>
    <row r="346">
      <c r="A346" s="31"/>
      <c r="B346" s="31"/>
      <c r="C346" s="37">
        <f>IF(B346="","",IFERROR(INDEX('Item master'!$B$2:$B$301,MATCH(B346,'Item master'!$A$2:$A$301,0))&amp;"",""))</f>
      </c>
      <c r="D346" s="31"/>
      <c r="E346" s="32"/>
      <c r="F346" s="38">
        <f>IF(OR(A346="",E346=""),"",IF(E346&lt;TODAY(),"Overdue",IF(E346&lt;=TODAY()+14,"Due in 14 days","OK")))</f>
      </c>
      <c r="G346" s="30"/>
      <c r="H346" s="38">
        <f>IF(A346="","",IF(COUNTIFS(Transactions!$E$2:$E$1001,A346,Transactions!$A$2:$A$1001,"Overdue")&gt;0,"Overdue",IF(COUNTIFS(Transactions!$E$2:$E$1001,A346,Transactions!$A$2:$A$1001,"Open")&gt;0,"Out","In")))</f>
      </c>
      <c r="I346" s="36"/>
    </row>
    <row r="347">
      <c r="A347" s="31"/>
      <c r="B347" s="31"/>
      <c r="C347" s="37">
        <f>IF(B347="","",IFERROR(INDEX('Item master'!$B$2:$B$301,MATCH(B347,'Item master'!$A$2:$A$301,0))&amp;"",""))</f>
      </c>
      <c r="D347" s="31"/>
      <c r="E347" s="32"/>
      <c r="F347" s="38">
        <f>IF(OR(A347="",E347=""),"",IF(E347&lt;TODAY(),"Overdue",IF(E347&lt;=TODAY()+14,"Due in 14 days","OK")))</f>
      </c>
      <c r="G347" s="30"/>
      <c r="H347" s="38">
        <f>IF(A347="","",IF(COUNTIFS(Transactions!$E$2:$E$1001,A347,Transactions!$A$2:$A$1001,"Overdue")&gt;0,"Overdue",IF(COUNTIFS(Transactions!$E$2:$E$1001,A347,Transactions!$A$2:$A$1001,"Open")&gt;0,"Out","In")))</f>
      </c>
      <c r="I347" s="36"/>
    </row>
    <row r="348">
      <c r="A348" s="31"/>
      <c r="B348" s="31"/>
      <c r="C348" s="37">
        <f>IF(B348="","",IFERROR(INDEX('Item master'!$B$2:$B$301,MATCH(B348,'Item master'!$A$2:$A$301,0))&amp;"",""))</f>
      </c>
      <c r="D348" s="31"/>
      <c r="E348" s="32"/>
      <c r="F348" s="38">
        <f>IF(OR(A348="",E348=""),"",IF(E348&lt;TODAY(),"Overdue",IF(E348&lt;=TODAY()+14,"Due in 14 days","OK")))</f>
      </c>
      <c r="G348" s="30"/>
      <c r="H348" s="38">
        <f>IF(A348="","",IF(COUNTIFS(Transactions!$E$2:$E$1001,A348,Transactions!$A$2:$A$1001,"Overdue")&gt;0,"Overdue",IF(COUNTIFS(Transactions!$E$2:$E$1001,A348,Transactions!$A$2:$A$1001,"Open")&gt;0,"Out","In")))</f>
      </c>
      <c r="I348" s="36"/>
    </row>
    <row r="349">
      <c r="A349" s="31"/>
      <c r="B349" s="31"/>
      <c r="C349" s="37">
        <f>IF(B349="","",IFERROR(INDEX('Item master'!$B$2:$B$301,MATCH(B349,'Item master'!$A$2:$A$301,0))&amp;"",""))</f>
      </c>
      <c r="D349" s="31"/>
      <c r="E349" s="32"/>
      <c r="F349" s="38">
        <f>IF(OR(A349="",E349=""),"",IF(E349&lt;TODAY(),"Overdue",IF(E349&lt;=TODAY()+14,"Due in 14 days","OK")))</f>
      </c>
      <c r="G349" s="30"/>
      <c r="H349" s="38">
        <f>IF(A349="","",IF(COUNTIFS(Transactions!$E$2:$E$1001,A349,Transactions!$A$2:$A$1001,"Overdue")&gt;0,"Overdue",IF(COUNTIFS(Transactions!$E$2:$E$1001,A349,Transactions!$A$2:$A$1001,"Open")&gt;0,"Out","In")))</f>
      </c>
      <c r="I349" s="36"/>
    </row>
    <row r="350">
      <c r="A350" s="31"/>
      <c r="B350" s="31"/>
      <c r="C350" s="37">
        <f>IF(B350="","",IFERROR(INDEX('Item master'!$B$2:$B$301,MATCH(B350,'Item master'!$A$2:$A$301,0))&amp;"",""))</f>
      </c>
      <c r="D350" s="31"/>
      <c r="E350" s="32"/>
      <c r="F350" s="38">
        <f>IF(OR(A350="",E350=""),"",IF(E350&lt;TODAY(),"Overdue",IF(E350&lt;=TODAY()+14,"Due in 14 days","OK")))</f>
      </c>
      <c r="G350" s="30"/>
      <c r="H350" s="38">
        <f>IF(A350="","",IF(COUNTIFS(Transactions!$E$2:$E$1001,A350,Transactions!$A$2:$A$1001,"Overdue")&gt;0,"Overdue",IF(COUNTIFS(Transactions!$E$2:$E$1001,A350,Transactions!$A$2:$A$1001,"Open")&gt;0,"Out","In")))</f>
      </c>
      <c r="I350" s="36"/>
    </row>
    <row r="351">
      <c r="A351" s="31"/>
      <c r="B351" s="31"/>
      <c r="C351" s="37">
        <f>IF(B351="","",IFERROR(INDEX('Item master'!$B$2:$B$301,MATCH(B351,'Item master'!$A$2:$A$301,0))&amp;"",""))</f>
      </c>
      <c r="D351" s="31"/>
      <c r="E351" s="32"/>
      <c r="F351" s="38">
        <f>IF(OR(A351="",E351=""),"",IF(E351&lt;TODAY(),"Overdue",IF(E351&lt;=TODAY()+14,"Due in 14 days","OK")))</f>
      </c>
      <c r="G351" s="30"/>
      <c r="H351" s="38">
        <f>IF(A351="","",IF(COUNTIFS(Transactions!$E$2:$E$1001,A351,Transactions!$A$2:$A$1001,"Overdue")&gt;0,"Overdue",IF(COUNTIFS(Transactions!$E$2:$E$1001,A351,Transactions!$A$2:$A$1001,"Open")&gt;0,"Out","In")))</f>
      </c>
      <c r="I351" s="36"/>
    </row>
    <row r="352">
      <c r="A352" s="31"/>
      <c r="B352" s="31"/>
      <c r="C352" s="37">
        <f>IF(B352="","",IFERROR(INDEX('Item master'!$B$2:$B$301,MATCH(B352,'Item master'!$A$2:$A$301,0))&amp;"",""))</f>
      </c>
      <c r="D352" s="31"/>
      <c r="E352" s="32"/>
      <c r="F352" s="38">
        <f>IF(OR(A352="",E352=""),"",IF(E352&lt;TODAY(),"Overdue",IF(E352&lt;=TODAY()+14,"Due in 14 days","OK")))</f>
      </c>
      <c r="G352" s="30"/>
      <c r="H352" s="38">
        <f>IF(A352="","",IF(COUNTIFS(Transactions!$E$2:$E$1001,A352,Transactions!$A$2:$A$1001,"Overdue")&gt;0,"Overdue",IF(COUNTIFS(Transactions!$E$2:$E$1001,A352,Transactions!$A$2:$A$1001,"Open")&gt;0,"Out","In")))</f>
      </c>
      <c r="I352" s="36"/>
    </row>
    <row r="353">
      <c r="A353" s="31"/>
      <c r="B353" s="31"/>
      <c r="C353" s="37">
        <f>IF(B353="","",IFERROR(INDEX('Item master'!$B$2:$B$301,MATCH(B353,'Item master'!$A$2:$A$301,0))&amp;"",""))</f>
      </c>
      <c r="D353" s="31"/>
      <c r="E353" s="32"/>
      <c r="F353" s="38">
        <f>IF(OR(A353="",E353=""),"",IF(E353&lt;TODAY(),"Overdue",IF(E353&lt;=TODAY()+14,"Due in 14 days","OK")))</f>
      </c>
      <c r="G353" s="30"/>
      <c r="H353" s="38">
        <f>IF(A353="","",IF(COUNTIFS(Transactions!$E$2:$E$1001,A353,Transactions!$A$2:$A$1001,"Overdue")&gt;0,"Overdue",IF(COUNTIFS(Transactions!$E$2:$E$1001,A353,Transactions!$A$2:$A$1001,"Open")&gt;0,"Out","In")))</f>
      </c>
      <c r="I353" s="36"/>
    </row>
    <row r="354">
      <c r="A354" s="31"/>
      <c r="B354" s="31"/>
      <c r="C354" s="37">
        <f>IF(B354="","",IFERROR(INDEX('Item master'!$B$2:$B$301,MATCH(B354,'Item master'!$A$2:$A$301,0))&amp;"",""))</f>
      </c>
      <c r="D354" s="31"/>
      <c r="E354" s="32"/>
      <c r="F354" s="38">
        <f>IF(OR(A354="",E354=""),"",IF(E354&lt;TODAY(),"Overdue",IF(E354&lt;=TODAY()+14,"Due in 14 days","OK")))</f>
      </c>
      <c r="G354" s="30"/>
      <c r="H354" s="38">
        <f>IF(A354="","",IF(COUNTIFS(Transactions!$E$2:$E$1001,A354,Transactions!$A$2:$A$1001,"Overdue")&gt;0,"Overdue",IF(COUNTIFS(Transactions!$E$2:$E$1001,A354,Transactions!$A$2:$A$1001,"Open")&gt;0,"Out","In")))</f>
      </c>
      <c r="I354" s="36"/>
    </row>
    <row r="355">
      <c r="A355" s="31"/>
      <c r="B355" s="31"/>
      <c r="C355" s="37">
        <f>IF(B355="","",IFERROR(INDEX('Item master'!$B$2:$B$301,MATCH(B355,'Item master'!$A$2:$A$301,0))&amp;"",""))</f>
      </c>
      <c r="D355" s="31"/>
      <c r="E355" s="32"/>
      <c r="F355" s="38">
        <f>IF(OR(A355="",E355=""),"",IF(E355&lt;TODAY(),"Overdue",IF(E355&lt;=TODAY()+14,"Due in 14 days","OK")))</f>
      </c>
      <c r="G355" s="30"/>
      <c r="H355" s="38">
        <f>IF(A355="","",IF(COUNTIFS(Transactions!$E$2:$E$1001,A355,Transactions!$A$2:$A$1001,"Overdue")&gt;0,"Overdue",IF(COUNTIFS(Transactions!$E$2:$E$1001,A355,Transactions!$A$2:$A$1001,"Open")&gt;0,"Out","In")))</f>
      </c>
      <c r="I355" s="36"/>
    </row>
    <row r="356">
      <c r="A356" s="31"/>
      <c r="B356" s="31"/>
      <c r="C356" s="37">
        <f>IF(B356="","",IFERROR(INDEX('Item master'!$B$2:$B$301,MATCH(B356,'Item master'!$A$2:$A$301,0))&amp;"",""))</f>
      </c>
      <c r="D356" s="31"/>
      <c r="E356" s="32"/>
      <c r="F356" s="38">
        <f>IF(OR(A356="",E356=""),"",IF(E356&lt;TODAY(),"Overdue",IF(E356&lt;=TODAY()+14,"Due in 14 days","OK")))</f>
      </c>
      <c r="G356" s="30"/>
      <c r="H356" s="38">
        <f>IF(A356="","",IF(COUNTIFS(Transactions!$E$2:$E$1001,A356,Transactions!$A$2:$A$1001,"Overdue")&gt;0,"Overdue",IF(COUNTIFS(Transactions!$E$2:$E$1001,A356,Transactions!$A$2:$A$1001,"Open")&gt;0,"Out","In")))</f>
      </c>
      <c r="I356" s="36"/>
    </row>
    <row r="357">
      <c r="A357" s="31"/>
      <c r="B357" s="31"/>
      <c r="C357" s="37">
        <f>IF(B357="","",IFERROR(INDEX('Item master'!$B$2:$B$301,MATCH(B357,'Item master'!$A$2:$A$301,0))&amp;"",""))</f>
      </c>
      <c r="D357" s="31"/>
      <c r="E357" s="32"/>
      <c r="F357" s="38">
        <f>IF(OR(A357="",E357=""),"",IF(E357&lt;TODAY(),"Overdue",IF(E357&lt;=TODAY()+14,"Due in 14 days","OK")))</f>
      </c>
      <c r="G357" s="30"/>
      <c r="H357" s="38">
        <f>IF(A357="","",IF(COUNTIFS(Transactions!$E$2:$E$1001,A357,Transactions!$A$2:$A$1001,"Overdue")&gt;0,"Overdue",IF(COUNTIFS(Transactions!$E$2:$E$1001,A357,Transactions!$A$2:$A$1001,"Open")&gt;0,"Out","In")))</f>
      </c>
      <c r="I357" s="36"/>
    </row>
    <row r="358">
      <c r="A358" s="31"/>
      <c r="B358" s="31"/>
      <c r="C358" s="37">
        <f>IF(B358="","",IFERROR(INDEX('Item master'!$B$2:$B$301,MATCH(B358,'Item master'!$A$2:$A$301,0))&amp;"",""))</f>
      </c>
      <c r="D358" s="31"/>
      <c r="E358" s="32"/>
      <c r="F358" s="38">
        <f>IF(OR(A358="",E358=""),"",IF(E358&lt;TODAY(),"Overdue",IF(E358&lt;=TODAY()+14,"Due in 14 days","OK")))</f>
      </c>
      <c r="G358" s="30"/>
      <c r="H358" s="38">
        <f>IF(A358="","",IF(COUNTIFS(Transactions!$E$2:$E$1001,A358,Transactions!$A$2:$A$1001,"Overdue")&gt;0,"Overdue",IF(COUNTIFS(Transactions!$E$2:$E$1001,A358,Transactions!$A$2:$A$1001,"Open")&gt;0,"Out","In")))</f>
      </c>
      <c r="I358" s="36"/>
    </row>
    <row r="359">
      <c r="A359" s="31"/>
      <c r="B359" s="31"/>
      <c r="C359" s="37">
        <f>IF(B359="","",IFERROR(INDEX('Item master'!$B$2:$B$301,MATCH(B359,'Item master'!$A$2:$A$301,0))&amp;"",""))</f>
      </c>
      <c r="D359" s="31"/>
      <c r="E359" s="32"/>
      <c r="F359" s="38">
        <f>IF(OR(A359="",E359=""),"",IF(E359&lt;TODAY(),"Overdue",IF(E359&lt;=TODAY()+14,"Due in 14 days","OK")))</f>
      </c>
      <c r="G359" s="30"/>
      <c r="H359" s="38">
        <f>IF(A359="","",IF(COUNTIFS(Transactions!$E$2:$E$1001,A359,Transactions!$A$2:$A$1001,"Overdue")&gt;0,"Overdue",IF(COUNTIFS(Transactions!$E$2:$E$1001,A359,Transactions!$A$2:$A$1001,"Open")&gt;0,"Out","In")))</f>
      </c>
      <c r="I359" s="36"/>
    </row>
    <row r="360">
      <c r="A360" s="31"/>
      <c r="B360" s="31"/>
      <c r="C360" s="37">
        <f>IF(B360="","",IFERROR(INDEX('Item master'!$B$2:$B$301,MATCH(B360,'Item master'!$A$2:$A$301,0))&amp;"",""))</f>
      </c>
      <c r="D360" s="31"/>
      <c r="E360" s="32"/>
      <c r="F360" s="38">
        <f>IF(OR(A360="",E360=""),"",IF(E360&lt;TODAY(),"Overdue",IF(E360&lt;=TODAY()+14,"Due in 14 days","OK")))</f>
      </c>
      <c r="G360" s="30"/>
      <c r="H360" s="38">
        <f>IF(A360="","",IF(COUNTIFS(Transactions!$E$2:$E$1001,A360,Transactions!$A$2:$A$1001,"Overdue")&gt;0,"Overdue",IF(COUNTIFS(Transactions!$E$2:$E$1001,A360,Transactions!$A$2:$A$1001,"Open")&gt;0,"Out","In")))</f>
      </c>
      <c r="I360" s="36"/>
    </row>
    <row r="361">
      <c r="A361" s="31"/>
      <c r="B361" s="31"/>
      <c r="C361" s="37">
        <f>IF(B361="","",IFERROR(INDEX('Item master'!$B$2:$B$301,MATCH(B361,'Item master'!$A$2:$A$301,0))&amp;"",""))</f>
      </c>
      <c r="D361" s="31"/>
      <c r="E361" s="32"/>
      <c r="F361" s="38">
        <f>IF(OR(A361="",E361=""),"",IF(E361&lt;TODAY(),"Overdue",IF(E361&lt;=TODAY()+14,"Due in 14 days","OK")))</f>
      </c>
      <c r="G361" s="30"/>
      <c r="H361" s="38">
        <f>IF(A361="","",IF(COUNTIFS(Transactions!$E$2:$E$1001,A361,Transactions!$A$2:$A$1001,"Overdue")&gt;0,"Overdue",IF(COUNTIFS(Transactions!$E$2:$E$1001,A361,Transactions!$A$2:$A$1001,"Open")&gt;0,"Out","In")))</f>
      </c>
      <c r="I361" s="36"/>
    </row>
    <row r="362">
      <c r="A362" s="31"/>
      <c r="B362" s="31"/>
      <c r="C362" s="37">
        <f>IF(B362="","",IFERROR(INDEX('Item master'!$B$2:$B$301,MATCH(B362,'Item master'!$A$2:$A$301,0))&amp;"",""))</f>
      </c>
      <c r="D362" s="31"/>
      <c r="E362" s="32"/>
      <c r="F362" s="38">
        <f>IF(OR(A362="",E362=""),"",IF(E362&lt;TODAY(),"Overdue",IF(E362&lt;=TODAY()+14,"Due in 14 days","OK")))</f>
      </c>
      <c r="G362" s="30"/>
      <c r="H362" s="38">
        <f>IF(A362="","",IF(COUNTIFS(Transactions!$E$2:$E$1001,A362,Transactions!$A$2:$A$1001,"Overdue")&gt;0,"Overdue",IF(COUNTIFS(Transactions!$E$2:$E$1001,A362,Transactions!$A$2:$A$1001,"Open")&gt;0,"Out","In")))</f>
      </c>
      <c r="I362" s="36"/>
    </row>
    <row r="363">
      <c r="A363" s="31"/>
      <c r="B363" s="31"/>
      <c r="C363" s="37">
        <f>IF(B363="","",IFERROR(INDEX('Item master'!$B$2:$B$301,MATCH(B363,'Item master'!$A$2:$A$301,0))&amp;"",""))</f>
      </c>
      <c r="D363" s="31"/>
      <c r="E363" s="32"/>
      <c r="F363" s="38">
        <f>IF(OR(A363="",E363=""),"",IF(E363&lt;TODAY(),"Overdue",IF(E363&lt;=TODAY()+14,"Due in 14 days","OK")))</f>
      </c>
      <c r="G363" s="30"/>
      <c r="H363" s="38">
        <f>IF(A363="","",IF(COUNTIFS(Transactions!$E$2:$E$1001,A363,Transactions!$A$2:$A$1001,"Overdue")&gt;0,"Overdue",IF(COUNTIFS(Transactions!$E$2:$E$1001,A363,Transactions!$A$2:$A$1001,"Open")&gt;0,"Out","In")))</f>
      </c>
      <c r="I363" s="36"/>
    </row>
    <row r="364">
      <c r="A364" s="31"/>
      <c r="B364" s="31"/>
      <c r="C364" s="37">
        <f>IF(B364="","",IFERROR(INDEX('Item master'!$B$2:$B$301,MATCH(B364,'Item master'!$A$2:$A$301,0))&amp;"",""))</f>
      </c>
      <c r="D364" s="31"/>
      <c r="E364" s="32"/>
      <c r="F364" s="38">
        <f>IF(OR(A364="",E364=""),"",IF(E364&lt;TODAY(),"Overdue",IF(E364&lt;=TODAY()+14,"Due in 14 days","OK")))</f>
      </c>
      <c r="G364" s="30"/>
      <c r="H364" s="38">
        <f>IF(A364="","",IF(COUNTIFS(Transactions!$E$2:$E$1001,A364,Transactions!$A$2:$A$1001,"Overdue")&gt;0,"Overdue",IF(COUNTIFS(Transactions!$E$2:$E$1001,A364,Transactions!$A$2:$A$1001,"Open")&gt;0,"Out","In")))</f>
      </c>
      <c r="I364" s="36"/>
    </row>
    <row r="365">
      <c r="A365" s="31"/>
      <c r="B365" s="31"/>
      <c r="C365" s="37">
        <f>IF(B365="","",IFERROR(INDEX('Item master'!$B$2:$B$301,MATCH(B365,'Item master'!$A$2:$A$301,0))&amp;"",""))</f>
      </c>
      <c r="D365" s="31"/>
      <c r="E365" s="32"/>
      <c r="F365" s="38">
        <f>IF(OR(A365="",E365=""),"",IF(E365&lt;TODAY(),"Overdue",IF(E365&lt;=TODAY()+14,"Due in 14 days","OK")))</f>
      </c>
      <c r="G365" s="30"/>
      <c r="H365" s="38">
        <f>IF(A365="","",IF(COUNTIFS(Transactions!$E$2:$E$1001,A365,Transactions!$A$2:$A$1001,"Overdue")&gt;0,"Overdue",IF(COUNTIFS(Transactions!$E$2:$E$1001,A365,Transactions!$A$2:$A$1001,"Open")&gt;0,"Out","In")))</f>
      </c>
      <c r="I365" s="36"/>
    </row>
    <row r="366">
      <c r="A366" s="31"/>
      <c r="B366" s="31"/>
      <c r="C366" s="37">
        <f>IF(B366="","",IFERROR(INDEX('Item master'!$B$2:$B$301,MATCH(B366,'Item master'!$A$2:$A$301,0))&amp;"",""))</f>
      </c>
      <c r="D366" s="31"/>
      <c r="E366" s="32"/>
      <c r="F366" s="38">
        <f>IF(OR(A366="",E366=""),"",IF(E366&lt;TODAY(),"Overdue",IF(E366&lt;=TODAY()+14,"Due in 14 days","OK")))</f>
      </c>
      <c r="G366" s="30"/>
      <c r="H366" s="38">
        <f>IF(A366="","",IF(COUNTIFS(Transactions!$E$2:$E$1001,A366,Transactions!$A$2:$A$1001,"Overdue")&gt;0,"Overdue",IF(COUNTIFS(Transactions!$E$2:$E$1001,A366,Transactions!$A$2:$A$1001,"Open")&gt;0,"Out","In")))</f>
      </c>
      <c r="I366" s="36"/>
    </row>
    <row r="367">
      <c r="A367" s="31"/>
      <c r="B367" s="31"/>
      <c r="C367" s="37">
        <f>IF(B367="","",IFERROR(INDEX('Item master'!$B$2:$B$301,MATCH(B367,'Item master'!$A$2:$A$301,0))&amp;"",""))</f>
      </c>
      <c r="D367" s="31"/>
      <c r="E367" s="32"/>
      <c r="F367" s="38">
        <f>IF(OR(A367="",E367=""),"",IF(E367&lt;TODAY(),"Overdue",IF(E367&lt;=TODAY()+14,"Due in 14 days","OK")))</f>
      </c>
      <c r="G367" s="30"/>
      <c r="H367" s="38">
        <f>IF(A367="","",IF(COUNTIFS(Transactions!$E$2:$E$1001,A367,Transactions!$A$2:$A$1001,"Overdue")&gt;0,"Overdue",IF(COUNTIFS(Transactions!$E$2:$E$1001,A367,Transactions!$A$2:$A$1001,"Open")&gt;0,"Out","In")))</f>
      </c>
      <c r="I367" s="36"/>
    </row>
    <row r="368">
      <c r="A368" s="31"/>
      <c r="B368" s="31"/>
      <c r="C368" s="37">
        <f>IF(B368="","",IFERROR(INDEX('Item master'!$B$2:$B$301,MATCH(B368,'Item master'!$A$2:$A$301,0))&amp;"",""))</f>
      </c>
      <c r="D368" s="31"/>
      <c r="E368" s="32"/>
      <c r="F368" s="38">
        <f>IF(OR(A368="",E368=""),"",IF(E368&lt;TODAY(),"Overdue",IF(E368&lt;=TODAY()+14,"Due in 14 days","OK")))</f>
      </c>
      <c r="G368" s="30"/>
      <c r="H368" s="38">
        <f>IF(A368="","",IF(COUNTIFS(Transactions!$E$2:$E$1001,A368,Transactions!$A$2:$A$1001,"Overdue")&gt;0,"Overdue",IF(COUNTIFS(Transactions!$E$2:$E$1001,A368,Transactions!$A$2:$A$1001,"Open")&gt;0,"Out","In")))</f>
      </c>
      <c r="I368" s="36"/>
    </row>
    <row r="369">
      <c r="A369" s="31"/>
      <c r="B369" s="31"/>
      <c r="C369" s="37">
        <f>IF(B369="","",IFERROR(INDEX('Item master'!$B$2:$B$301,MATCH(B369,'Item master'!$A$2:$A$301,0))&amp;"",""))</f>
      </c>
      <c r="D369" s="31"/>
      <c r="E369" s="32"/>
      <c r="F369" s="38">
        <f>IF(OR(A369="",E369=""),"",IF(E369&lt;TODAY(),"Overdue",IF(E369&lt;=TODAY()+14,"Due in 14 days","OK")))</f>
      </c>
      <c r="G369" s="30"/>
      <c r="H369" s="38">
        <f>IF(A369="","",IF(COUNTIFS(Transactions!$E$2:$E$1001,A369,Transactions!$A$2:$A$1001,"Overdue")&gt;0,"Overdue",IF(COUNTIFS(Transactions!$E$2:$E$1001,A369,Transactions!$A$2:$A$1001,"Open")&gt;0,"Out","In")))</f>
      </c>
      <c r="I369" s="36"/>
    </row>
    <row r="370">
      <c r="A370" s="31"/>
      <c r="B370" s="31"/>
      <c r="C370" s="37">
        <f>IF(B370="","",IFERROR(INDEX('Item master'!$B$2:$B$301,MATCH(B370,'Item master'!$A$2:$A$301,0))&amp;"",""))</f>
      </c>
      <c r="D370" s="31"/>
      <c r="E370" s="32"/>
      <c r="F370" s="38">
        <f>IF(OR(A370="",E370=""),"",IF(E370&lt;TODAY(),"Overdue",IF(E370&lt;=TODAY()+14,"Due in 14 days","OK")))</f>
      </c>
      <c r="G370" s="30"/>
      <c r="H370" s="38">
        <f>IF(A370="","",IF(COUNTIFS(Transactions!$E$2:$E$1001,A370,Transactions!$A$2:$A$1001,"Overdue")&gt;0,"Overdue",IF(COUNTIFS(Transactions!$E$2:$E$1001,A370,Transactions!$A$2:$A$1001,"Open")&gt;0,"Out","In")))</f>
      </c>
      <c r="I370" s="36"/>
    </row>
    <row r="371">
      <c r="A371" s="31"/>
      <c r="B371" s="31"/>
      <c r="C371" s="37">
        <f>IF(B371="","",IFERROR(INDEX('Item master'!$B$2:$B$301,MATCH(B371,'Item master'!$A$2:$A$301,0))&amp;"",""))</f>
      </c>
      <c r="D371" s="31"/>
      <c r="E371" s="32"/>
      <c r="F371" s="38">
        <f>IF(OR(A371="",E371=""),"",IF(E371&lt;TODAY(),"Overdue",IF(E371&lt;=TODAY()+14,"Due in 14 days","OK")))</f>
      </c>
      <c r="G371" s="30"/>
      <c r="H371" s="38">
        <f>IF(A371="","",IF(COUNTIFS(Transactions!$E$2:$E$1001,A371,Transactions!$A$2:$A$1001,"Overdue")&gt;0,"Overdue",IF(COUNTIFS(Transactions!$E$2:$E$1001,A371,Transactions!$A$2:$A$1001,"Open")&gt;0,"Out","In")))</f>
      </c>
      <c r="I371" s="36"/>
    </row>
    <row r="372">
      <c r="A372" s="31"/>
      <c r="B372" s="31"/>
      <c r="C372" s="37">
        <f>IF(B372="","",IFERROR(INDEX('Item master'!$B$2:$B$301,MATCH(B372,'Item master'!$A$2:$A$301,0))&amp;"",""))</f>
      </c>
      <c r="D372" s="31"/>
      <c r="E372" s="32"/>
      <c r="F372" s="38">
        <f>IF(OR(A372="",E372=""),"",IF(E372&lt;TODAY(),"Overdue",IF(E372&lt;=TODAY()+14,"Due in 14 days","OK")))</f>
      </c>
      <c r="G372" s="30"/>
      <c r="H372" s="38">
        <f>IF(A372="","",IF(COUNTIFS(Transactions!$E$2:$E$1001,A372,Transactions!$A$2:$A$1001,"Overdue")&gt;0,"Overdue",IF(COUNTIFS(Transactions!$E$2:$E$1001,A372,Transactions!$A$2:$A$1001,"Open")&gt;0,"Out","In")))</f>
      </c>
      <c r="I372" s="36"/>
    </row>
    <row r="373">
      <c r="A373" s="31"/>
      <c r="B373" s="31"/>
      <c r="C373" s="37">
        <f>IF(B373="","",IFERROR(INDEX('Item master'!$B$2:$B$301,MATCH(B373,'Item master'!$A$2:$A$301,0))&amp;"",""))</f>
      </c>
      <c r="D373" s="31"/>
      <c r="E373" s="32"/>
      <c r="F373" s="38">
        <f>IF(OR(A373="",E373=""),"",IF(E373&lt;TODAY(),"Overdue",IF(E373&lt;=TODAY()+14,"Due in 14 days","OK")))</f>
      </c>
      <c r="G373" s="30"/>
      <c r="H373" s="38">
        <f>IF(A373="","",IF(COUNTIFS(Transactions!$E$2:$E$1001,A373,Transactions!$A$2:$A$1001,"Overdue")&gt;0,"Overdue",IF(COUNTIFS(Transactions!$E$2:$E$1001,A373,Transactions!$A$2:$A$1001,"Open")&gt;0,"Out","In")))</f>
      </c>
      <c r="I373" s="36"/>
    </row>
    <row r="374">
      <c r="A374" s="31"/>
      <c r="B374" s="31"/>
      <c r="C374" s="37">
        <f>IF(B374="","",IFERROR(INDEX('Item master'!$B$2:$B$301,MATCH(B374,'Item master'!$A$2:$A$301,0))&amp;"",""))</f>
      </c>
      <c r="D374" s="31"/>
      <c r="E374" s="32"/>
      <c r="F374" s="38">
        <f>IF(OR(A374="",E374=""),"",IF(E374&lt;TODAY(),"Overdue",IF(E374&lt;=TODAY()+14,"Due in 14 days","OK")))</f>
      </c>
      <c r="G374" s="30"/>
      <c r="H374" s="38">
        <f>IF(A374="","",IF(COUNTIFS(Transactions!$E$2:$E$1001,A374,Transactions!$A$2:$A$1001,"Overdue")&gt;0,"Overdue",IF(COUNTIFS(Transactions!$E$2:$E$1001,A374,Transactions!$A$2:$A$1001,"Open")&gt;0,"Out","In")))</f>
      </c>
      <c r="I374" s="36"/>
    </row>
    <row r="375">
      <c r="A375" s="31"/>
      <c r="B375" s="31"/>
      <c r="C375" s="37">
        <f>IF(B375="","",IFERROR(INDEX('Item master'!$B$2:$B$301,MATCH(B375,'Item master'!$A$2:$A$301,0))&amp;"",""))</f>
      </c>
      <c r="D375" s="31"/>
      <c r="E375" s="32"/>
      <c r="F375" s="38">
        <f>IF(OR(A375="",E375=""),"",IF(E375&lt;TODAY(),"Overdue",IF(E375&lt;=TODAY()+14,"Due in 14 days","OK")))</f>
      </c>
      <c r="G375" s="30"/>
      <c r="H375" s="38">
        <f>IF(A375="","",IF(COUNTIFS(Transactions!$E$2:$E$1001,A375,Transactions!$A$2:$A$1001,"Overdue")&gt;0,"Overdue",IF(COUNTIFS(Transactions!$E$2:$E$1001,A375,Transactions!$A$2:$A$1001,"Open")&gt;0,"Out","In")))</f>
      </c>
      <c r="I375" s="36"/>
    </row>
    <row r="376">
      <c r="A376" s="31"/>
      <c r="B376" s="31"/>
      <c r="C376" s="37">
        <f>IF(B376="","",IFERROR(INDEX('Item master'!$B$2:$B$301,MATCH(B376,'Item master'!$A$2:$A$301,0))&amp;"",""))</f>
      </c>
      <c r="D376" s="31"/>
      <c r="E376" s="32"/>
      <c r="F376" s="38">
        <f>IF(OR(A376="",E376=""),"",IF(E376&lt;TODAY(),"Overdue",IF(E376&lt;=TODAY()+14,"Due in 14 days","OK")))</f>
      </c>
      <c r="G376" s="30"/>
      <c r="H376" s="38">
        <f>IF(A376="","",IF(COUNTIFS(Transactions!$E$2:$E$1001,A376,Transactions!$A$2:$A$1001,"Overdue")&gt;0,"Overdue",IF(COUNTIFS(Transactions!$E$2:$E$1001,A376,Transactions!$A$2:$A$1001,"Open")&gt;0,"Out","In")))</f>
      </c>
      <c r="I376" s="36"/>
    </row>
    <row r="377">
      <c r="A377" s="31"/>
      <c r="B377" s="31"/>
      <c r="C377" s="37">
        <f>IF(B377="","",IFERROR(INDEX('Item master'!$B$2:$B$301,MATCH(B377,'Item master'!$A$2:$A$301,0))&amp;"",""))</f>
      </c>
      <c r="D377" s="31"/>
      <c r="E377" s="32"/>
      <c r="F377" s="38">
        <f>IF(OR(A377="",E377=""),"",IF(E377&lt;TODAY(),"Overdue",IF(E377&lt;=TODAY()+14,"Due in 14 days","OK")))</f>
      </c>
      <c r="G377" s="30"/>
      <c r="H377" s="38">
        <f>IF(A377="","",IF(COUNTIFS(Transactions!$E$2:$E$1001,A377,Transactions!$A$2:$A$1001,"Overdue")&gt;0,"Overdue",IF(COUNTIFS(Transactions!$E$2:$E$1001,A377,Transactions!$A$2:$A$1001,"Open")&gt;0,"Out","In")))</f>
      </c>
      <c r="I377" s="36"/>
    </row>
    <row r="378">
      <c r="A378" s="31"/>
      <c r="B378" s="31"/>
      <c r="C378" s="37">
        <f>IF(B378="","",IFERROR(INDEX('Item master'!$B$2:$B$301,MATCH(B378,'Item master'!$A$2:$A$301,0))&amp;"",""))</f>
      </c>
      <c r="D378" s="31"/>
      <c r="E378" s="32"/>
      <c r="F378" s="38">
        <f>IF(OR(A378="",E378=""),"",IF(E378&lt;TODAY(),"Overdue",IF(E378&lt;=TODAY()+14,"Due in 14 days","OK")))</f>
      </c>
      <c r="G378" s="30"/>
      <c r="H378" s="38">
        <f>IF(A378="","",IF(COUNTIFS(Transactions!$E$2:$E$1001,A378,Transactions!$A$2:$A$1001,"Overdue")&gt;0,"Overdue",IF(COUNTIFS(Transactions!$E$2:$E$1001,A378,Transactions!$A$2:$A$1001,"Open")&gt;0,"Out","In")))</f>
      </c>
      <c r="I378" s="36"/>
    </row>
    <row r="379">
      <c r="A379" s="31"/>
      <c r="B379" s="31"/>
      <c r="C379" s="37">
        <f>IF(B379="","",IFERROR(INDEX('Item master'!$B$2:$B$301,MATCH(B379,'Item master'!$A$2:$A$301,0))&amp;"",""))</f>
      </c>
      <c r="D379" s="31"/>
      <c r="E379" s="32"/>
      <c r="F379" s="38">
        <f>IF(OR(A379="",E379=""),"",IF(E379&lt;TODAY(),"Overdue",IF(E379&lt;=TODAY()+14,"Due in 14 days","OK")))</f>
      </c>
      <c r="G379" s="30"/>
      <c r="H379" s="38">
        <f>IF(A379="","",IF(COUNTIFS(Transactions!$E$2:$E$1001,A379,Transactions!$A$2:$A$1001,"Overdue")&gt;0,"Overdue",IF(COUNTIFS(Transactions!$E$2:$E$1001,A379,Transactions!$A$2:$A$1001,"Open")&gt;0,"Out","In")))</f>
      </c>
      <c r="I379" s="36"/>
    </row>
    <row r="380">
      <c r="A380" s="31"/>
      <c r="B380" s="31"/>
      <c r="C380" s="37">
        <f>IF(B380="","",IFERROR(INDEX('Item master'!$B$2:$B$301,MATCH(B380,'Item master'!$A$2:$A$301,0))&amp;"",""))</f>
      </c>
      <c r="D380" s="31"/>
      <c r="E380" s="32"/>
      <c r="F380" s="38">
        <f>IF(OR(A380="",E380=""),"",IF(E380&lt;TODAY(),"Overdue",IF(E380&lt;=TODAY()+14,"Due in 14 days","OK")))</f>
      </c>
      <c r="G380" s="30"/>
      <c r="H380" s="38">
        <f>IF(A380="","",IF(COUNTIFS(Transactions!$E$2:$E$1001,A380,Transactions!$A$2:$A$1001,"Overdue")&gt;0,"Overdue",IF(COUNTIFS(Transactions!$E$2:$E$1001,A380,Transactions!$A$2:$A$1001,"Open")&gt;0,"Out","In")))</f>
      </c>
      <c r="I380" s="36"/>
    </row>
    <row r="381">
      <c r="A381" s="31"/>
      <c r="B381" s="31"/>
      <c r="C381" s="37">
        <f>IF(B381="","",IFERROR(INDEX('Item master'!$B$2:$B$301,MATCH(B381,'Item master'!$A$2:$A$301,0))&amp;"",""))</f>
      </c>
      <c r="D381" s="31"/>
      <c r="E381" s="32"/>
      <c r="F381" s="38">
        <f>IF(OR(A381="",E381=""),"",IF(E381&lt;TODAY(),"Overdue",IF(E381&lt;=TODAY()+14,"Due in 14 days","OK")))</f>
      </c>
      <c r="G381" s="30"/>
      <c r="H381" s="38">
        <f>IF(A381="","",IF(COUNTIFS(Transactions!$E$2:$E$1001,A381,Transactions!$A$2:$A$1001,"Overdue")&gt;0,"Overdue",IF(COUNTIFS(Transactions!$E$2:$E$1001,A381,Transactions!$A$2:$A$1001,"Open")&gt;0,"Out","In")))</f>
      </c>
      <c r="I381" s="36"/>
    </row>
    <row r="382">
      <c r="A382" s="31"/>
      <c r="B382" s="31"/>
      <c r="C382" s="37">
        <f>IF(B382="","",IFERROR(INDEX('Item master'!$B$2:$B$301,MATCH(B382,'Item master'!$A$2:$A$301,0))&amp;"",""))</f>
      </c>
      <c r="D382" s="31"/>
      <c r="E382" s="32"/>
      <c r="F382" s="38">
        <f>IF(OR(A382="",E382=""),"",IF(E382&lt;TODAY(),"Overdue",IF(E382&lt;=TODAY()+14,"Due in 14 days","OK")))</f>
      </c>
      <c r="G382" s="30"/>
      <c r="H382" s="38">
        <f>IF(A382="","",IF(COUNTIFS(Transactions!$E$2:$E$1001,A382,Transactions!$A$2:$A$1001,"Overdue")&gt;0,"Overdue",IF(COUNTIFS(Transactions!$E$2:$E$1001,A382,Transactions!$A$2:$A$1001,"Open")&gt;0,"Out","In")))</f>
      </c>
      <c r="I382" s="36"/>
    </row>
    <row r="383">
      <c r="A383" s="31"/>
      <c r="B383" s="31"/>
      <c r="C383" s="37">
        <f>IF(B383="","",IFERROR(INDEX('Item master'!$B$2:$B$301,MATCH(B383,'Item master'!$A$2:$A$301,0))&amp;"",""))</f>
      </c>
      <c r="D383" s="31"/>
      <c r="E383" s="32"/>
      <c r="F383" s="38">
        <f>IF(OR(A383="",E383=""),"",IF(E383&lt;TODAY(),"Overdue",IF(E383&lt;=TODAY()+14,"Due in 14 days","OK")))</f>
      </c>
      <c r="G383" s="30"/>
      <c r="H383" s="38">
        <f>IF(A383="","",IF(COUNTIFS(Transactions!$E$2:$E$1001,A383,Transactions!$A$2:$A$1001,"Overdue")&gt;0,"Overdue",IF(COUNTIFS(Transactions!$E$2:$E$1001,A383,Transactions!$A$2:$A$1001,"Open")&gt;0,"Out","In")))</f>
      </c>
      <c r="I383" s="36"/>
    </row>
    <row r="384">
      <c r="A384" s="31"/>
      <c r="B384" s="31"/>
      <c r="C384" s="37">
        <f>IF(B384="","",IFERROR(INDEX('Item master'!$B$2:$B$301,MATCH(B384,'Item master'!$A$2:$A$301,0))&amp;"",""))</f>
      </c>
      <c r="D384" s="31"/>
      <c r="E384" s="32"/>
      <c r="F384" s="38">
        <f>IF(OR(A384="",E384=""),"",IF(E384&lt;TODAY(),"Overdue",IF(E384&lt;=TODAY()+14,"Due in 14 days","OK")))</f>
      </c>
      <c r="G384" s="30"/>
      <c r="H384" s="38">
        <f>IF(A384="","",IF(COUNTIFS(Transactions!$E$2:$E$1001,A384,Transactions!$A$2:$A$1001,"Overdue")&gt;0,"Overdue",IF(COUNTIFS(Transactions!$E$2:$E$1001,A384,Transactions!$A$2:$A$1001,"Open")&gt;0,"Out","In")))</f>
      </c>
      <c r="I384" s="36"/>
    </row>
    <row r="385">
      <c r="A385" s="31"/>
      <c r="B385" s="31"/>
      <c r="C385" s="37">
        <f>IF(B385="","",IFERROR(INDEX('Item master'!$B$2:$B$301,MATCH(B385,'Item master'!$A$2:$A$301,0))&amp;"",""))</f>
      </c>
      <c r="D385" s="31"/>
      <c r="E385" s="32"/>
      <c r="F385" s="38">
        <f>IF(OR(A385="",E385=""),"",IF(E385&lt;TODAY(),"Overdue",IF(E385&lt;=TODAY()+14,"Due in 14 days","OK")))</f>
      </c>
      <c r="G385" s="30"/>
      <c r="H385" s="38">
        <f>IF(A385="","",IF(COUNTIFS(Transactions!$E$2:$E$1001,A385,Transactions!$A$2:$A$1001,"Overdue")&gt;0,"Overdue",IF(COUNTIFS(Transactions!$E$2:$E$1001,A385,Transactions!$A$2:$A$1001,"Open")&gt;0,"Out","In")))</f>
      </c>
      <c r="I385" s="36"/>
    </row>
    <row r="386">
      <c r="A386" s="31"/>
      <c r="B386" s="31"/>
      <c r="C386" s="37">
        <f>IF(B386="","",IFERROR(INDEX('Item master'!$B$2:$B$301,MATCH(B386,'Item master'!$A$2:$A$301,0))&amp;"",""))</f>
      </c>
      <c r="D386" s="31"/>
      <c r="E386" s="32"/>
      <c r="F386" s="38">
        <f>IF(OR(A386="",E386=""),"",IF(E386&lt;TODAY(),"Overdue",IF(E386&lt;=TODAY()+14,"Due in 14 days","OK")))</f>
      </c>
      <c r="G386" s="30"/>
      <c r="H386" s="38">
        <f>IF(A386="","",IF(COUNTIFS(Transactions!$E$2:$E$1001,A386,Transactions!$A$2:$A$1001,"Overdue")&gt;0,"Overdue",IF(COUNTIFS(Transactions!$E$2:$E$1001,A386,Transactions!$A$2:$A$1001,"Open")&gt;0,"Out","In")))</f>
      </c>
      <c r="I386" s="36"/>
    </row>
    <row r="387">
      <c r="A387" s="31"/>
      <c r="B387" s="31"/>
      <c r="C387" s="37">
        <f>IF(B387="","",IFERROR(INDEX('Item master'!$B$2:$B$301,MATCH(B387,'Item master'!$A$2:$A$301,0))&amp;"",""))</f>
      </c>
      <c r="D387" s="31"/>
      <c r="E387" s="32"/>
      <c r="F387" s="38">
        <f>IF(OR(A387="",E387=""),"",IF(E387&lt;TODAY(),"Overdue",IF(E387&lt;=TODAY()+14,"Due in 14 days","OK")))</f>
      </c>
      <c r="G387" s="30"/>
      <c r="H387" s="38">
        <f>IF(A387="","",IF(COUNTIFS(Transactions!$E$2:$E$1001,A387,Transactions!$A$2:$A$1001,"Overdue")&gt;0,"Overdue",IF(COUNTIFS(Transactions!$E$2:$E$1001,A387,Transactions!$A$2:$A$1001,"Open")&gt;0,"Out","In")))</f>
      </c>
      <c r="I387" s="36"/>
    </row>
    <row r="388">
      <c r="A388" s="31"/>
      <c r="B388" s="31"/>
      <c r="C388" s="37">
        <f>IF(B388="","",IFERROR(INDEX('Item master'!$B$2:$B$301,MATCH(B388,'Item master'!$A$2:$A$301,0))&amp;"",""))</f>
      </c>
      <c r="D388" s="31"/>
      <c r="E388" s="32"/>
      <c r="F388" s="38">
        <f>IF(OR(A388="",E388=""),"",IF(E388&lt;TODAY(),"Overdue",IF(E388&lt;=TODAY()+14,"Due in 14 days","OK")))</f>
      </c>
      <c r="G388" s="30"/>
      <c r="H388" s="38">
        <f>IF(A388="","",IF(COUNTIFS(Transactions!$E$2:$E$1001,A388,Transactions!$A$2:$A$1001,"Overdue")&gt;0,"Overdue",IF(COUNTIFS(Transactions!$E$2:$E$1001,A388,Transactions!$A$2:$A$1001,"Open")&gt;0,"Out","In")))</f>
      </c>
      <c r="I388" s="36"/>
    </row>
    <row r="389">
      <c r="A389" s="31"/>
      <c r="B389" s="31"/>
      <c r="C389" s="37">
        <f>IF(B389="","",IFERROR(INDEX('Item master'!$B$2:$B$301,MATCH(B389,'Item master'!$A$2:$A$301,0))&amp;"",""))</f>
      </c>
      <c r="D389" s="31"/>
      <c r="E389" s="32"/>
      <c r="F389" s="38">
        <f>IF(OR(A389="",E389=""),"",IF(E389&lt;TODAY(),"Overdue",IF(E389&lt;=TODAY()+14,"Due in 14 days","OK")))</f>
      </c>
      <c r="G389" s="30"/>
      <c r="H389" s="38">
        <f>IF(A389="","",IF(COUNTIFS(Transactions!$E$2:$E$1001,A389,Transactions!$A$2:$A$1001,"Overdue")&gt;0,"Overdue",IF(COUNTIFS(Transactions!$E$2:$E$1001,A389,Transactions!$A$2:$A$1001,"Open")&gt;0,"Out","In")))</f>
      </c>
      <c r="I389" s="36"/>
    </row>
    <row r="390">
      <c r="A390" s="31"/>
      <c r="B390" s="31"/>
      <c r="C390" s="37">
        <f>IF(B390="","",IFERROR(INDEX('Item master'!$B$2:$B$301,MATCH(B390,'Item master'!$A$2:$A$301,0))&amp;"",""))</f>
      </c>
      <c r="D390" s="31"/>
      <c r="E390" s="32"/>
      <c r="F390" s="38">
        <f>IF(OR(A390="",E390=""),"",IF(E390&lt;TODAY(),"Overdue",IF(E390&lt;=TODAY()+14,"Due in 14 days","OK")))</f>
      </c>
      <c r="G390" s="30"/>
      <c r="H390" s="38">
        <f>IF(A390="","",IF(COUNTIFS(Transactions!$E$2:$E$1001,A390,Transactions!$A$2:$A$1001,"Overdue")&gt;0,"Overdue",IF(COUNTIFS(Transactions!$E$2:$E$1001,A390,Transactions!$A$2:$A$1001,"Open")&gt;0,"Out","In")))</f>
      </c>
      <c r="I390" s="36"/>
    </row>
    <row r="391">
      <c r="A391" s="31"/>
      <c r="B391" s="31"/>
      <c r="C391" s="37">
        <f>IF(B391="","",IFERROR(INDEX('Item master'!$B$2:$B$301,MATCH(B391,'Item master'!$A$2:$A$301,0))&amp;"",""))</f>
      </c>
      <c r="D391" s="31"/>
      <c r="E391" s="32"/>
      <c r="F391" s="38">
        <f>IF(OR(A391="",E391=""),"",IF(E391&lt;TODAY(),"Overdue",IF(E391&lt;=TODAY()+14,"Due in 14 days","OK")))</f>
      </c>
      <c r="G391" s="30"/>
      <c r="H391" s="38">
        <f>IF(A391="","",IF(COUNTIFS(Transactions!$E$2:$E$1001,A391,Transactions!$A$2:$A$1001,"Overdue")&gt;0,"Overdue",IF(COUNTIFS(Transactions!$E$2:$E$1001,A391,Transactions!$A$2:$A$1001,"Open")&gt;0,"Out","In")))</f>
      </c>
      <c r="I391" s="36"/>
    </row>
    <row r="392">
      <c r="A392" s="31"/>
      <c r="B392" s="31"/>
      <c r="C392" s="37">
        <f>IF(B392="","",IFERROR(INDEX('Item master'!$B$2:$B$301,MATCH(B392,'Item master'!$A$2:$A$301,0))&amp;"",""))</f>
      </c>
      <c r="D392" s="31"/>
      <c r="E392" s="32"/>
      <c r="F392" s="38">
        <f>IF(OR(A392="",E392=""),"",IF(E392&lt;TODAY(),"Overdue",IF(E392&lt;=TODAY()+14,"Due in 14 days","OK")))</f>
      </c>
      <c r="G392" s="30"/>
      <c r="H392" s="38">
        <f>IF(A392="","",IF(COUNTIFS(Transactions!$E$2:$E$1001,A392,Transactions!$A$2:$A$1001,"Overdue")&gt;0,"Overdue",IF(COUNTIFS(Transactions!$E$2:$E$1001,A392,Transactions!$A$2:$A$1001,"Open")&gt;0,"Out","In")))</f>
      </c>
      <c r="I392" s="36"/>
    </row>
    <row r="393">
      <c r="A393" s="31"/>
      <c r="B393" s="31"/>
      <c r="C393" s="37">
        <f>IF(B393="","",IFERROR(INDEX('Item master'!$B$2:$B$301,MATCH(B393,'Item master'!$A$2:$A$301,0))&amp;"",""))</f>
      </c>
      <c r="D393" s="31"/>
      <c r="E393" s="32"/>
      <c r="F393" s="38">
        <f>IF(OR(A393="",E393=""),"",IF(E393&lt;TODAY(),"Overdue",IF(E393&lt;=TODAY()+14,"Due in 14 days","OK")))</f>
      </c>
      <c r="G393" s="30"/>
      <c r="H393" s="38">
        <f>IF(A393="","",IF(COUNTIFS(Transactions!$E$2:$E$1001,A393,Transactions!$A$2:$A$1001,"Overdue")&gt;0,"Overdue",IF(COUNTIFS(Transactions!$E$2:$E$1001,A393,Transactions!$A$2:$A$1001,"Open")&gt;0,"Out","In")))</f>
      </c>
      <c r="I393" s="36"/>
    </row>
    <row r="394">
      <c r="A394" s="31"/>
      <c r="B394" s="31"/>
      <c r="C394" s="37">
        <f>IF(B394="","",IFERROR(INDEX('Item master'!$B$2:$B$301,MATCH(B394,'Item master'!$A$2:$A$301,0))&amp;"",""))</f>
      </c>
      <c r="D394" s="31"/>
      <c r="E394" s="32"/>
      <c r="F394" s="38">
        <f>IF(OR(A394="",E394=""),"",IF(E394&lt;TODAY(),"Overdue",IF(E394&lt;=TODAY()+14,"Due in 14 days","OK")))</f>
      </c>
      <c r="G394" s="30"/>
      <c r="H394" s="38">
        <f>IF(A394="","",IF(COUNTIFS(Transactions!$E$2:$E$1001,A394,Transactions!$A$2:$A$1001,"Overdue")&gt;0,"Overdue",IF(COUNTIFS(Transactions!$E$2:$E$1001,A394,Transactions!$A$2:$A$1001,"Open")&gt;0,"Out","In")))</f>
      </c>
      <c r="I394" s="36"/>
    </row>
    <row r="395">
      <c r="A395" s="31"/>
      <c r="B395" s="31"/>
      <c r="C395" s="37">
        <f>IF(B395="","",IFERROR(INDEX('Item master'!$B$2:$B$301,MATCH(B395,'Item master'!$A$2:$A$301,0))&amp;"",""))</f>
      </c>
      <c r="D395" s="31"/>
      <c r="E395" s="32"/>
      <c r="F395" s="38">
        <f>IF(OR(A395="",E395=""),"",IF(E395&lt;TODAY(),"Overdue",IF(E395&lt;=TODAY()+14,"Due in 14 days","OK")))</f>
      </c>
      <c r="G395" s="30"/>
      <c r="H395" s="38">
        <f>IF(A395="","",IF(COUNTIFS(Transactions!$E$2:$E$1001,A395,Transactions!$A$2:$A$1001,"Overdue")&gt;0,"Overdue",IF(COUNTIFS(Transactions!$E$2:$E$1001,A395,Transactions!$A$2:$A$1001,"Open")&gt;0,"Out","In")))</f>
      </c>
      <c r="I395" s="36"/>
    </row>
    <row r="396">
      <c r="A396" s="31"/>
      <c r="B396" s="31"/>
      <c r="C396" s="37">
        <f>IF(B396="","",IFERROR(INDEX('Item master'!$B$2:$B$301,MATCH(B396,'Item master'!$A$2:$A$301,0))&amp;"",""))</f>
      </c>
      <c r="D396" s="31"/>
      <c r="E396" s="32"/>
      <c r="F396" s="38">
        <f>IF(OR(A396="",E396=""),"",IF(E396&lt;TODAY(),"Overdue",IF(E396&lt;=TODAY()+14,"Due in 14 days","OK")))</f>
      </c>
      <c r="G396" s="30"/>
      <c r="H396" s="38">
        <f>IF(A396="","",IF(COUNTIFS(Transactions!$E$2:$E$1001,A396,Transactions!$A$2:$A$1001,"Overdue")&gt;0,"Overdue",IF(COUNTIFS(Transactions!$E$2:$E$1001,A396,Transactions!$A$2:$A$1001,"Open")&gt;0,"Out","In")))</f>
      </c>
      <c r="I396" s="36"/>
    </row>
    <row r="397">
      <c r="A397" s="31"/>
      <c r="B397" s="31"/>
      <c r="C397" s="37">
        <f>IF(B397="","",IFERROR(INDEX('Item master'!$B$2:$B$301,MATCH(B397,'Item master'!$A$2:$A$301,0))&amp;"",""))</f>
      </c>
      <c r="D397" s="31"/>
      <c r="E397" s="32"/>
      <c r="F397" s="38">
        <f>IF(OR(A397="",E397=""),"",IF(E397&lt;TODAY(),"Overdue",IF(E397&lt;=TODAY()+14,"Due in 14 days","OK")))</f>
      </c>
      <c r="G397" s="30"/>
      <c r="H397" s="38">
        <f>IF(A397="","",IF(COUNTIFS(Transactions!$E$2:$E$1001,A397,Transactions!$A$2:$A$1001,"Overdue")&gt;0,"Overdue",IF(COUNTIFS(Transactions!$E$2:$E$1001,A397,Transactions!$A$2:$A$1001,"Open")&gt;0,"Out","In")))</f>
      </c>
      <c r="I397" s="36"/>
    </row>
    <row r="398">
      <c r="A398" s="31"/>
      <c r="B398" s="31"/>
      <c r="C398" s="37">
        <f>IF(B398="","",IFERROR(INDEX('Item master'!$B$2:$B$301,MATCH(B398,'Item master'!$A$2:$A$301,0))&amp;"",""))</f>
      </c>
      <c r="D398" s="31"/>
      <c r="E398" s="32"/>
      <c r="F398" s="38">
        <f>IF(OR(A398="",E398=""),"",IF(E398&lt;TODAY(),"Overdue",IF(E398&lt;=TODAY()+14,"Due in 14 days","OK")))</f>
      </c>
      <c r="G398" s="30"/>
      <c r="H398" s="38">
        <f>IF(A398="","",IF(COUNTIFS(Transactions!$E$2:$E$1001,A398,Transactions!$A$2:$A$1001,"Overdue")&gt;0,"Overdue",IF(COUNTIFS(Transactions!$E$2:$E$1001,A398,Transactions!$A$2:$A$1001,"Open")&gt;0,"Out","In")))</f>
      </c>
      <c r="I398" s="36"/>
    </row>
    <row r="399">
      <c r="A399" s="31"/>
      <c r="B399" s="31"/>
      <c r="C399" s="37">
        <f>IF(B399="","",IFERROR(INDEX('Item master'!$B$2:$B$301,MATCH(B399,'Item master'!$A$2:$A$301,0))&amp;"",""))</f>
      </c>
      <c r="D399" s="31"/>
      <c r="E399" s="32"/>
      <c r="F399" s="38">
        <f>IF(OR(A399="",E399=""),"",IF(E399&lt;TODAY(),"Overdue",IF(E399&lt;=TODAY()+14,"Due in 14 days","OK")))</f>
      </c>
      <c r="G399" s="30"/>
      <c r="H399" s="38">
        <f>IF(A399="","",IF(COUNTIFS(Transactions!$E$2:$E$1001,A399,Transactions!$A$2:$A$1001,"Overdue")&gt;0,"Overdue",IF(COUNTIFS(Transactions!$E$2:$E$1001,A399,Transactions!$A$2:$A$1001,"Open")&gt;0,"Out","In")))</f>
      </c>
      <c r="I399" s="36"/>
    </row>
    <row r="400">
      <c r="A400" s="31"/>
      <c r="B400" s="31"/>
      <c r="C400" s="37">
        <f>IF(B400="","",IFERROR(INDEX('Item master'!$B$2:$B$301,MATCH(B400,'Item master'!$A$2:$A$301,0))&amp;"",""))</f>
      </c>
      <c r="D400" s="31"/>
      <c r="E400" s="32"/>
      <c r="F400" s="38">
        <f>IF(OR(A400="",E400=""),"",IF(E400&lt;TODAY(),"Overdue",IF(E400&lt;=TODAY()+14,"Due in 14 days","OK")))</f>
      </c>
      <c r="G400" s="30"/>
      <c r="H400" s="38">
        <f>IF(A400="","",IF(COUNTIFS(Transactions!$E$2:$E$1001,A400,Transactions!$A$2:$A$1001,"Overdue")&gt;0,"Overdue",IF(COUNTIFS(Transactions!$E$2:$E$1001,A400,Transactions!$A$2:$A$1001,"Open")&gt;0,"Out","In")))</f>
      </c>
      <c r="I400" s="36"/>
    </row>
    <row r="401">
      <c r="A401" s="31"/>
      <c r="B401" s="31"/>
      <c r="C401" s="37">
        <f>IF(B401="","",IFERROR(INDEX('Item master'!$B$2:$B$301,MATCH(B401,'Item master'!$A$2:$A$301,0))&amp;"",""))</f>
      </c>
      <c r="D401" s="31"/>
      <c r="E401" s="32"/>
      <c r="F401" s="38">
        <f>IF(OR(A401="",E401=""),"",IF(E401&lt;TODAY(),"Overdue",IF(E401&lt;=TODAY()+14,"Due in 14 days","OK")))</f>
      </c>
      <c r="G401" s="30"/>
      <c r="H401" s="38">
        <f>IF(A401="","",IF(COUNTIFS(Transactions!$E$2:$E$1001,A401,Transactions!$A$2:$A$1001,"Overdue")&gt;0,"Overdue",IF(COUNTIFS(Transactions!$E$2:$E$1001,A401,Transactions!$A$2:$A$1001,"Open")&gt;0,"Out","In")))</f>
      </c>
      <c r="I401" s="36"/>
    </row>
    <row r="402">
      <c r="A402" s="31"/>
      <c r="B402" s="31"/>
      <c r="C402" s="37">
        <f>IF(B402="","",IFERROR(INDEX('Item master'!$B$2:$B$301,MATCH(B402,'Item master'!$A$2:$A$301,0))&amp;"",""))</f>
      </c>
      <c r="D402" s="31"/>
      <c r="E402" s="32"/>
      <c r="F402" s="38">
        <f>IF(OR(A402="",E402=""),"",IF(E402&lt;TODAY(),"Overdue",IF(E402&lt;=TODAY()+14,"Due in 14 days","OK")))</f>
      </c>
      <c r="G402" s="30"/>
      <c r="H402" s="38">
        <f>IF(A402="","",IF(COUNTIFS(Transactions!$E$2:$E$1001,A402,Transactions!$A$2:$A$1001,"Overdue")&gt;0,"Overdue",IF(COUNTIFS(Transactions!$E$2:$E$1001,A402,Transactions!$A$2:$A$1001,"Open")&gt;0,"Out","In")))</f>
      </c>
      <c r="I402" s="36"/>
    </row>
    <row r="403">
      <c r="A403" s="31"/>
      <c r="B403" s="31"/>
      <c r="C403" s="37">
        <f>IF(B403="","",IFERROR(INDEX('Item master'!$B$2:$B$301,MATCH(B403,'Item master'!$A$2:$A$301,0))&amp;"",""))</f>
      </c>
      <c r="D403" s="31"/>
      <c r="E403" s="32"/>
      <c r="F403" s="38">
        <f>IF(OR(A403="",E403=""),"",IF(E403&lt;TODAY(),"Overdue",IF(E403&lt;=TODAY()+14,"Due in 14 days","OK")))</f>
      </c>
      <c r="G403" s="30"/>
      <c r="H403" s="38">
        <f>IF(A403="","",IF(COUNTIFS(Transactions!$E$2:$E$1001,A403,Transactions!$A$2:$A$1001,"Overdue")&gt;0,"Overdue",IF(COUNTIFS(Transactions!$E$2:$E$1001,A403,Transactions!$A$2:$A$1001,"Open")&gt;0,"Out","In")))</f>
      </c>
      <c r="I403" s="36"/>
    </row>
    <row r="404">
      <c r="A404" s="31"/>
      <c r="B404" s="31"/>
      <c r="C404" s="37">
        <f>IF(B404="","",IFERROR(INDEX('Item master'!$B$2:$B$301,MATCH(B404,'Item master'!$A$2:$A$301,0))&amp;"",""))</f>
      </c>
      <c r="D404" s="31"/>
      <c r="E404" s="32"/>
      <c r="F404" s="38">
        <f>IF(OR(A404="",E404=""),"",IF(E404&lt;TODAY(),"Overdue",IF(E404&lt;=TODAY()+14,"Due in 14 days","OK")))</f>
      </c>
      <c r="G404" s="30"/>
      <c r="H404" s="38">
        <f>IF(A404="","",IF(COUNTIFS(Transactions!$E$2:$E$1001,A404,Transactions!$A$2:$A$1001,"Overdue")&gt;0,"Overdue",IF(COUNTIFS(Transactions!$E$2:$E$1001,A404,Transactions!$A$2:$A$1001,"Open")&gt;0,"Out","In")))</f>
      </c>
      <c r="I404" s="36"/>
    </row>
    <row r="405">
      <c r="A405" s="31"/>
      <c r="B405" s="31"/>
      <c r="C405" s="37">
        <f>IF(B405="","",IFERROR(INDEX('Item master'!$B$2:$B$301,MATCH(B405,'Item master'!$A$2:$A$301,0))&amp;"",""))</f>
      </c>
      <c r="D405" s="31"/>
      <c r="E405" s="32"/>
      <c r="F405" s="38">
        <f>IF(OR(A405="",E405=""),"",IF(E405&lt;TODAY(),"Overdue",IF(E405&lt;=TODAY()+14,"Due in 14 days","OK")))</f>
      </c>
      <c r="G405" s="30"/>
      <c r="H405" s="38">
        <f>IF(A405="","",IF(COUNTIFS(Transactions!$E$2:$E$1001,A405,Transactions!$A$2:$A$1001,"Overdue")&gt;0,"Overdue",IF(COUNTIFS(Transactions!$E$2:$E$1001,A405,Transactions!$A$2:$A$1001,"Open")&gt;0,"Out","In")))</f>
      </c>
      <c r="I405" s="36"/>
    </row>
    <row r="406">
      <c r="A406" s="31"/>
      <c r="B406" s="31"/>
      <c r="C406" s="37">
        <f>IF(B406="","",IFERROR(INDEX('Item master'!$B$2:$B$301,MATCH(B406,'Item master'!$A$2:$A$301,0))&amp;"",""))</f>
      </c>
      <c r="D406" s="31"/>
      <c r="E406" s="32"/>
      <c r="F406" s="38">
        <f>IF(OR(A406="",E406=""),"",IF(E406&lt;TODAY(),"Overdue",IF(E406&lt;=TODAY()+14,"Due in 14 days","OK")))</f>
      </c>
      <c r="G406" s="30"/>
      <c r="H406" s="38">
        <f>IF(A406="","",IF(COUNTIFS(Transactions!$E$2:$E$1001,A406,Transactions!$A$2:$A$1001,"Overdue")&gt;0,"Overdue",IF(COUNTIFS(Transactions!$E$2:$E$1001,A406,Transactions!$A$2:$A$1001,"Open")&gt;0,"Out","In")))</f>
      </c>
      <c r="I406" s="36"/>
    </row>
    <row r="407">
      <c r="A407" s="31"/>
      <c r="B407" s="31"/>
      <c r="C407" s="37">
        <f>IF(B407="","",IFERROR(INDEX('Item master'!$B$2:$B$301,MATCH(B407,'Item master'!$A$2:$A$301,0))&amp;"",""))</f>
      </c>
      <c r="D407" s="31"/>
      <c r="E407" s="32"/>
      <c r="F407" s="38">
        <f>IF(OR(A407="",E407=""),"",IF(E407&lt;TODAY(),"Overdue",IF(E407&lt;=TODAY()+14,"Due in 14 days","OK")))</f>
      </c>
      <c r="G407" s="30"/>
      <c r="H407" s="38">
        <f>IF(A407="","",IF(COUNTIFS(Transactions!$E$2:$E$1001,A407,Transactions!$A$2:$A$1001,"Overdue")&gt;0,"Overdue",IF(COUNTIFS(Transactions!$E$2:$E$1001,A407,Transactions!$A$2:$A$1001,"Open")&gt;0,"Out","In")))</f>
      </c>
      <c r="I407" s="36"/>
    </row>
    <row r="408">
      <c r="A408" s="31"/>
      <c r="B408" s="31"/>
      <c r="C408" s="37">
        <f>IF(B408="","",IFERROR(INDEX('Item master'!$B$2:$B$301,MATCH(B408,'Item master'!$A$2:$A$301,0))&amp;"",""))</f>
      </c>
      <c r="D408" s="31"/>
      <c r="E408" s="32"/>
      <c r="F408" s="38">
        <f>IF(OR(A408="",E408=""),"",IF(E408&lt;TODAY(),"Overdue",IF(E408&lt;=TODAY()+14,"Due in 14 days","OK")))</f>
      </c>
      <c r="G408" s="30"/>
      <c r="H408" s="38">
        <f>IF(A408="","",IF(COUNTIFS(Transactions!$E$2:$E$1001,A408,Transactions!$A$2:$A$1001,"Overdue")&gt;0,"Overdue",IF(COUNTIFS(Transactions!$E$2:$E$1001,A408,Transactions!$A$2:$A$1001,"Open")&gt;0,"Out","In")))</f>
      </c>
      <c r="I408" s="36"/>
    </row>
    <row r="409">
      <c r="A409" s="31"/>
      <c r="B409" s="31"/>
      <c r="C409" s="37">
        <f>IF(B409="","",IFERROR(INDEX('Item master'!$B$2:$B$301,MATCH(B409,'Item master'!$A$2:$A$301,0))&amp;"",""))</f>
      </c>
      <c r="D409" s="31"/>
      <c r="E409" s="32"/>
      <c r="F409" s="38">
        <f>IF(OR(A409="",E409=""),"",IF(E409&lt;TODAY(),"Overdue",IF(E409&lt;=TODAY()+14,"Due in 14 days","OK")))</f>
      </c>
      <c r="G409" s="30"/>
      <c r="H409" s="38">
        <f>IF(A409="","",IF(COUNTIFS(Transactions!$E$2:$E$1001,A409,Transactions!$A$2:$A$1001,"Overdue")&gt;0,"Overdue",IF(COUNTIFS(Transactions!$E$2:$E$1001,A409,Transactions!$A$2:$A$1001,"Open")&gt;0,"Out","In")))</f>
      </c>
      <c r="I409" s="36"/>
    </row>
    <row r="410">
      <c r="A410" s="31"/>
      <c r="B410" s="31"/>
      <c r="C410" s="37">
        <f>IF(B410="","",IFERROR(INDEX('Item master'!$B$2:$B$301,MATCH(B410,'Item master'!$A$2:$A$301,0))&amp;"",""))</f>
      </c>
      <c r="D410" s="31"/>
      <c r="E410" s="32"/>
      <c r="F410" s="38">
        <f>IF(OR(A410="",E410=""),"",IF(E410&lt;TODAY(),"Overdue",IF(E410&lt;=TODAY()+14,"Due in 14 days","OK")))</f>
      </c>
      <c r="G410" s="30"/>
      <c r="H410" s="38">
        <f>IF(A410="","",IF(COUNTIFS(Transactions!$E$2:$E$1001,A410,Transactions!$A$2:$A$1001,"Overdue")&gt;0,"Overdue",IF(COUNTIFS(Transactions!$E$2:$E$1001,A410,Transactions!$A$2:$A$1001,"Open")&gt;0,"Out","In")))</f>
      </c>
      <c r="I410" s="36"/>
    </row>
    <row r="411">
      <c r="A411" s="31"/>
      <c r="B411" s="31"/>
      <c r="C411" s="37">
        <f>IF(B411="","",IFERROR(INDEX('Item master'!$B$2:$B$301,MATCH(B411,'Item master'!$A$2:$A$301,0))&amp;"",""))</f>
      </c>
      <c r="D411" s="31"/>
      <c r="E411" s="32"/>
      <c r="F411" s="38">
        <f>IF(OR(A411="",E411=""),"",IF(E411&lt;TODAY(),"Overdue",IF(E411&lt;=TODAY()+14,"Due in 14 days","OK")))</f>
      </c>
      <c r="G411" s="30"/>
      <c r="H411" s="38">
        <f>IF(A411="","",IF(COUNTIFS(Transactions!$E$2:$E$1001,A411,Transactions!$A$2:$A$1001,"Overdue")&gt;0,"Overdue",IF(COUNTIFS(Transactions!$E$2:$E$1001,A411,Transactions!$A$2:$A$1001,"Open")&gt;0,"Out","In")))</f>
      </c>
      <c r="I411" s="36"/>
    </row>
    <row r="412">
      <c r="A412" s="31"/>
      <c r="B412" s="31"/>
      <c r="C412" s="37">
        <f>IF(B412="","",IFERROR(INDEX('Item master'!$B$2:$B$301,MATCH(B412,'Item master'!$A$2:$A$301,0))&amp;"",""))</f>
      </c>
      <c r="D412" s="31"/>
      <c r="E412" s="32"/>
      <c r="F412" s="38">
        <f>IF(OR(A412="",E412=""),"",IF(E412&lt;TODAY(),"Overdue",IF(E412&lt;=TODAY()+14,"Due in 14 days","OK")))</f>
      </c>
      <c r="G412" s="30"/>
      <c r="H412" s="38">
        <f>IF(A412="","",IF(COUNTIFS(Transactions!$E$2:$E$1001,A412,Transactions!$A$2:$A$1001,"Overdue")&gt;0,"Overdue",IF(COUNTIFS(Transactions!$E$2:$E$1001,A412,Transactions!$A$2:$A$1001,"Open")&gt;0,"Out","In")))</f>
      </c>
      <c r="I412" s="36"/>
    </row>
    <row r="413">
      <c r="A413" s="31"/>
      <c r="B413" s="31"/>
      <c r="C413" s="37">
        <f>IF(B413="","",IFERROR(INDEX('Item master'!$B$2:$B$301,MATCH(B413,'Item master'!$A$2:$A$301,0))&amp;"",""))</f>
      </c>
      <c r="D413" s="31"/>
      <c r="E413" s="32"/>
      <c r="F413" s="38">
        <f>IF(OR(A413="",E413=""),"",IF(E413&lt;TODAY(),"Overdue",IF(E413&lt;=TODAY()+14,"Due in 14 days","OK")))</f>
      </c>
      <c r="G413" s="30"/>
      <c r="H413" s="38">
        <f>IF(A413="","",IF(COUNTIFS(Transactions!$E$2:$E$1001,A413,Transactions!$A$2:$A$1001,"Overdue")&gt;0,"Overdue",IF(COUNTIFS(Transactions!$E$2:$E$1001,A413,Transactions!$A$2:$A$1001,"Open")&gt;0,"Out","In")))</f>
      </c>
      <c r="I413" s="36"/>
    </row>
    <row r="414">
      <c r="A414" s="31"/>
      <c r="B414" s="31"/>
      <c r="C414" s="37">
        <f>IF(B414="","",IFERROR(INDEX('Item master'!$B$2:$B$301,MATCH(B414,'Item master'!$A$2:$A$301,0))&amp;"",""))</f>
      </c>
      <c r="D414" s="31"/>
      <c r="E414" s="32"/>
      <c r="F414" s="38">
        <f>IF(OR(A414="",E414=""),"",IF(E414&lt;TODAY(),"Overdue",IF(E414&lt;=TODAY()+14,"Due in 14 days","OK")))</f>
      </c>
      <c r="G414" s="30"/>
      <c r="H414" s="38">
        <f>IF(A414="","",IF(COUNTIFS(Transactions!$E$2:$E$1001,A414,Transactions!$A$2:$A$1001,"Overdue")&gt;0,"Overdue",IF(COUNTIFS(Transactions!$E$2:$E$1001,A414,Transactions!$A$2:$A$1001,"Open")&gt;0,"Out","In")))</f>
      </c>
      <c r="I414" s="36"/>
    </row>
    <row r="415">
      <c r="A415" s="31"/>
      <c r="B415" s="31"/>
      <c r="C415" s="37">
        <f>IF(B415="","",IFERROR(INDEX('Item master'!$B$2:$B$301,MATCH(B415,'Item master'!$A$2:$A$301,0))&amp;"",""))</f>
      </c>
      <c r="D415" s="31"/>
      <c r="E415" s="32"/>
      <c r="F415" s="38">
        <f>IF(OR(A415="",E415=""),"",IF(E415&lt;TODAY(),"Overdue",IF(E415&lt;=TODAY()+14,"Due in 14 days","OK")))</f>
      </c>
      <c r="G415" s="30"/>
      <c r="H415" s="38">
        <f>IF(A415="","",IF(COUNTIFS(Transactions!$E$2:$E$1001,A415,Transactions!$A$2:$A$1001,"Overdue")&gt;0,"Overdue",IF(COUNTIFS(Transactions!$E$2:$E$1001,A415,Transactions!$A$2:$A$1001,"Open")&gt;0,"Out","In")))</f>
      </c>
      <c r="I415" s="36"/>
    </row>
    <row r="416">
      <c r="A416" s="31"/>
      <c r="B416" s="31"/>
      <c r="C416" s="37">
        <f>IF(B416="","",IFERROR(INDEX('Item master'!$B$2:$B$301,MATCH(B416,'Item master'!$A$2:$A$301,0))&amp;"",""))</f>
      </c>
      <c r="D416" s="31"/>
      <c r="E416" s="32"/>
      <c r="F416" s="38">
        <f>IF(OR(A416="",E416=""),"",IF(E416&lt;TODAY(),"Overdue",IF(E416&lt;=TODAY()+14,"Due in 14 days","OK")))</f>
      </c>
      <c r="G416" s="30"/>
      <c r="H416" s="38">
        <f>IF(A416="","",IF(COUNTIFS(Transactions!$E$2:$E$1001,A416,Transactions!$A$2:$A$1001,"Overdue")&gt;0,"Overdue",IF(COUNTIFS(Transactions!$E$2:$E$1001,A416,Transactions!$A$2:$A$1001,"Open")&gt;0,"Out","In")))</f>
      </c>
      <c r="I416" s="36"/>
    </row>
    <row r="417">
      <c r="A417" s="31"/>
      <c r="B417" s="31"/>
      <c r="C417" s="37">
        <f>IF(B417="","",IFERROR(INDEX('Item master'!$B$2:$B$301,MATCH(B417,'Item master'!$A$2:$A$301,0))&amp;"",""))</f>
      </c>
      <c r="D417" s="31"/>
      <c r="E417" s="32"/>
      <c r="F417" s="38">
        <f>IF(OR(A417="",E417=""),"",IF(E417&lt;TODAY(),"Overdue",IF(E417&lt;=TODAY()+14,"Due in 14 days","OK")))</f>
      </c>
      <c r="G417" s="30"/>
      <c r="H417" s="38">
        <f>IF(A417="","",IF(COUNTIFS(Transactions!$E$2:$E$1001,A417,Transactions!$A$2:$A$1001,"Overdue")&gt;0,"Overdue",IF(COUNTIFS(Transactions!$E$2:$E$1001,A417,Transactions!$A$2:$A$1001,"Open")&gt;0,"Out","In")))</f>
      </c>
      <c r="I417" s="36"/>
    </row>
    <row r="418">
      <c r="A418" s="31"/>
      <c r="B418" s="31"/>
      <c r="C418" s="37">
        <f>IF(B418="","",IFERROR(INDEX('Item master'!$B$2:$B$301,MATCH(B418,'Item master'!$A$2:$A$301,0))&amp;"",""))</f>
      </c>
      <c r="D418" s="31"/>
      <c r="E418" s="32"/>
      <c r="F418" s="38">
        <f>IF(OR(A418="",E418=""),"",IF(E418&lt;TODAY(),"Overdue",IF(E418&lt;=TODAY()+14,"Due in 14 days","OK")))</f>
      </c>
      <c r="G418" s="30"/>
      <c r="H418" s="38">
        <f>IF(A418="","",IF(COUNTIFS(Transactions!$E$2:$E$1001,A418,Transactions!$A$2:$A$1001,"Overdue")&gt;0,"Overdue",IF(COUNTIFS(Transactions!$E$2:$E$1001,A418,Transactions!$A$2:$A$1001,"Open")&gt;0,"Out","In")))</f>
      </c>
      <c r="I418" s="36"/>
    </row>
    <row r="419">
      <c r="A419" s="31"/>
      <c r="B419" s="31"/>
      <c r="C419" s="37">
        <f>IF(B419="","",IFERROR(INDEX('Item master'!$B$2:$B$301,MATCH(B419,'Item master'!$A$2:$A$301,0))&amp;"",""))</f>
      </c>
      <c r="D419" s="31"/>
      <c r="E419" s="32"/>
      <c r="F419" s="38">
        <f>IF(OR(A419="",E419=""),"",IF(E419&lt;TODAY(),"Overdue",IF(E419&lt;=TODAY()+14,"Due in 14 days","OK")))</f>
      </c>
      <c r="G419" s="30"/>
      <c r="H419" s="38">
        <f>IF(A419="","",IF(COUNTIFS(Transactions!$E$2:$E$1001,A419,Transactions!$A$2:$A$1001,"Overdue")&gt;0,"Overdue",IF(COUNTIFS(Transactions!$E$2:$E$1001,A419,Transactions!$A$2:$A$1001,"Open")&gt;0,"Out","In")))</f>
      </c>
      <c r="I419" s="36"/>
    </row>
    <row r="420">
      <c r="A420" s="31"/>
      <c r="B420" s="31"/>
      <c r="C420" s="37">
        <f>IF(B420="","",IFERROR(INDEX('Item master'!$B$2:$B$301,MATCH(B420,'Item master'!$A$2:$A$301,0))&amp;"",""))</f>
      </c>
      <c r="D420" s="31"/>
      <c r="E420" s="32"/>
      <c r="F420" s="38">
        <f>IF(OR(A420="",E420=""),"",IF(E420&lt;TODAY(),"Overdue",IF(E420&lt;=TODAY()+14,"Due in 14 days","OK")))</f>
      </c>
      <c r="G420" s="30"/>
      <c r="H420" s="38">
        <f>IF(A420="","",IF(COUNTIFS(Transactions!$E$2:$E$1001,A420,Transactions!$A$2:$A$1001,"Overdue")&gt;0,"Overdue",IF(COUNTIFS(Transactions!$E$2:$E$1001,A420,Transactions!$A$2:$A$1001,"Open")&gt;0,"Out","In")))</f>
      </c>
      <c r="I420" s="36"/>
    </row>
    <row r="421">
      <c r="A421" s="31"/>
      <c r="B421" s="31"/>
      <c r="C421" s="37">
        <f>IF(B421="","",IFERROR(INDEX('Item master'!$B$2:$B$301,MATCH(B421,'Item master'!$A$2:$A$301,0))&amp;"",""))</f>
      </c>
      <c r="D421" s="31"/>
      <c r="E421" s="32"/>
      <c r="F421" s="38">
        <f>IF(OR(A421="",E421=""),"",IF(E421&lt;TODAY(),"Overdue",IF(E421&lt;=TODAY()+14,"Due in 14 days","OK")))</f>
      </c>
      <c r="G421" s="30"/>
      <c r="H421" s="38">
        <f>IF(A421="","",IF(COUNTIFS(Transactions!$E$2:$E$1001,A421,Transactions!$A$2:$A$1001,"Overdue")&gt;0,"Overdue",IF(COUNTIFS(Transactions!$E$2:$E$1001,A421,Transactions!$A$2:$A$1001,"Open")&gt;0,"Out","In")))</f>
      </c>
      <c r="I421" s="36"/>
    </row>
    <row r="422">
      <c r="A422" s="31"/>
      <c r="B422" s="31"/>
      <c r="C422" s="37">
        <f>IF(B422="","",IFERROR(INDEX('Item master'!$B$2:$B$301,MATCH(B422,'Item master'!$A$2:$A$301,0))&amp;"",""))</f>
      </c>
      <c r="D422" s="31"/>
      <c r="E422" s="32"/>
      <c r="F422" s="38">
        <f>IF(OR(A422="",E422=""),"",IF(E422&lt;TODAY(),"Overdue",IF(E422&lt;=TODAY()+14,"Due in 14 days","OK")))</f>
      </c>
      <c r="G422" s="30"/>
      <c r="H422" s="38">
        <f>IF(A422="","",IF(COUNTIFS(Transactions!$E$2:$E$1001,A422,Transactions!$A$2:$A$1001,"Overdue")&gt;0,"Overdue",IF(COUNTIFS(Transactions!$E$2:$E$1001,A422,Transactions!$A$2:$A$1001,"Open")&gt;0,"Out","In")))</f>
      </c>
      <c r="I422" s="36"/>
    </row>
    <row r="423">
      <c r="A423" s="31"/>
      <c r="B423" s="31"/>
      <c r="C423" s="37">
        <f>IF(B423="","",IFERROR(INDEX('Item master'!$B$2:$B$301,MATCH(B423,'Item master'!$A$2:$A$301,0))&amp;"",""))</f>
      </c>
      <c r="D423" s="31"/>
      <c r="E423" s="32"/>
      <c r="F423" s="38">
        <f>IF(OR(A423="",E423=""),"",IF(E423&lt;TODAY(),"Overdue",IF(E423&lt;=TODAY()+14,"Due in 14 days","OK")))</f>
      </c>
      <c r="G423" s="30"/>
      <c r="H423" s="38">
        <f>IF(A423="","",IF(COUNTIFS(Transactions!$E$2:$E$1001,A423,Transactions!$A$2:$A$1001,"Overdue")&gt;0,"Overdue",IF(COUNTIFS(Transactions!$E$2:$E$1001,A423,Transactions!$A$2:$A$1001,"Open")&gt;0,"Out","In")))</f>
      </c>
      <c r="I423" s="36"/>
    </row>
    <row r="424">
      <c r="A424" s="31"/>
      <c r="B424" s="31"/>
      <c r="C424" s="37">
        <f>IF(B424="","",IFERROR(INDEX('Item master'!$B$2:$B$301,MATCH(B424,'Item master'!$A$2:$A$301,0))&amp;"",""))</f>
      </c>
      <c r="D424" s="31"/>
      <c r="E424" s="32"/>
      <c r="F424" s="38">
        <f>IF(OR(A424="",E424=""),"",IF(E424&lt;TODAY(),"Overdue",IF(E424&lt;=TODAY()+14,"Due in 14 days","OK")))</f>
      </c>
      <c r="G424" s="30"/>
      <c r="H424" s="38">
        <f>IF(A424="","",IF(COUNTIFS(Transactions!$E$2:$E$1001,A424,Transactions!$A$2:$A$1001,"Overdue")&gt;0,"Overdue",IF(COUNTIFS(Transactions!$E$2:$E$1001,A424,Transactions!$A$2:$A$1001,"Open")&gt;0,"Out","In")))</f>
      </c>
      <c r="I424" s="36"/>
    </row>
    <row r="425">
      <c r="A425" s="31"/>
      <c r="B425" s="31"/>
      <c r="C425" s="37">
        <f>IF(B425="","",IFERROR(INDEX('Item master'!$B$2:$B$301,MATCH(B425,'Item master'!$A$2:$A$301,0))&amp;"",""))</f>
      </c>
      <c r="D425" s="31"/>
      <c r="E425" s="32"/>
      <c r="F425" s="38">
        <f>IF(OR(A425="",E425=""),"",IF(E425&lt;TODAY(),"Overdue",IF(E425&lt;=TODAY()+14,"Due in 14 days","OK")))</f>
      </c>
      <c r="G425" s="30"/>
      <c r="H425" s="38">
        <f>IF(A425="","",IF(COUNTIFS(Transactions!$E$2:$E$1001,A425,Transactions!$A$2:$A$1001,"Overdue")&gt;0,"Overdue",IF(COUNTIFS(Transactions!$E$2:$E$1001,A425,Transactions!$A$2:$A$1001,"Open")&gt;0,"Out","In")))</f>
      </c>
      <c r="I425" s="36"/>
    </row>
    <row r="426">
      <c r="A426" s="31"/>
      <c r="B426" s="31"/>
      <c r="C426" s="37">
        <f>IF(B426="","",IFERROR(INDEX('Item master'!$B$2:$B$301,MATCH(B426,'Item master'!$A$2:$A$301,0))&amp;"",""))</f>
      </c>
      <c r="D426" s="31"/>
      <c r="E426" s="32"/>
      <c r="F426" s="38">
        <f>IF(OR(A426="",E426=""),"",IF(E426&lt;TODAY(),"Overdue",IF(E426&lt;=TODAY()+14,"Due in 14 days","OK")))</f>
      </c>
      <c r="G426" s="30"/>
      <c r="H426" s="38">
        <f>IF(A426="","",IF(COUNTIFS(Transactions!$E$2:$E$1001,A426,Transactions!$A$2:$A$1001,"Overdue")&gt;0,"Overdue",IF(COUNTIFS(Transactions!$E$2:$E$1001,A426,Transactions!$A$2:$A$1001,"Open")&gt;0,"Out","In")))</f>
      </c>
      <c r="I426" s="36"/>
    </row>
    <row r="427">
      <c r="A427" s="31"/>
      <c r="B427" s="31"/>
      <c r="C427" s="37">
        <f>IF(B427="","",IFERROR(INDEX('Item master'!$B$2:$B$301,MATCH(B427,'Item master'!$A$2:$A$301,0))&amp;"",""))</f>
      </c>
      <c r="D427" s="31"/>
      <c r="E427" s="32"/>
      <c r="F427" s="38">
        <f>IF(OR(A427="",E427=""),"",IF(E427&lt;TODAY(),"Overdue",IF(E427&lt;=TODAY()+14,"Due in 14 days","OK")))</f>
      </c>
      <c r="G427" s="30"/>
      <c r="H427" s="38">
        <f>IF(A427="","",IF(COUNTIFS(Transactions!$E$2:$E$1001,A427,Transactions!$A$2:$A$1001,"Overdue")&gt;0,"Overdue",IF(COUNTIFS(Transactions!$E$2:$E$1001,A427,Transactions!$A$2:$A$1001,"Open")&gt;0,"Out","In")))</f>
      </c>
      <c r="I427" s="36"/>
    </row>
    <row r="428">
      <c r="A428" s="31"/>
      <c r="B428" s="31"/>
      <c r="C428" s="37">
        <f>IF(B428="","",IFERROR(INDEX('Item master'!$B$2:$B$301,MATCH(B428,'Item master'!$A$2:$A$301,0))&amp;"",""))</f>
      </c>
      <c r="D428" s="31"/>
      <c r="E428" s="32"/>
      <c r="F428" s="38">
        <f>IF(OR(A428="",E428=""),"",IF(E428&lt;TODAY(),"Overdue",IF(E428&lt;=TODAY()+14,"Due in 14 days","OK")))</f>
      </c>
      <c r="G428" s="30"/>
      <c r="H428" s="38">
        <f>IF(A428="","",IF(COUNTIFS(Transactions!$E$2:$E$1001,A428,Transactions!$A$2:$A$1001,"Overdue")&gt;0,"Overdue",IF(COUNTIFS(Transactions!$E$2:$E$1001,A428,Transactions!$A$2:$A$1001,"Open")&gt;0,"Out","In")))</f>
      </c>
      <c r="I428" s="36"/>
    </row>
    <row r="429">
      <c r="A429" s="31"/>
      <c r="B429" s="31"/>
      <c r="C429" s="37">
        <f>IF(B429="","",IFERROR(INDEX('Item master'!$B$2:$B$301,MATCH(B429,'Item master'!$A$2:$A$301,0))&amp;"",""))</f>
      </c>
      <c r="D429" s="31"/>
      <c r="E429" s="32"/>
      <c r="F429" s="38">
        <f>IF(OR(A429="",E429=""),"",IF(E429&lt;TODAY(),"Overdue",IF(E429&lt;=TODAY()+14,"Due in 14 days","OK")))</f>
      </c>
      <c r="G429" s="30"/>
      <c r="H429" s="38">
        <f>IF(A429="","",IF(COUNTIFS(Transactions!$E$2:$E$1001,A429,Transactions!$A$2:$A$1001,"Overdue")&gt;0,"Overdue",IF(COUNTIFS(Transactions!$E$2:$E$1001,A429,Transactions!$A$2:$A$1001,"Open")&gt;0,"Out","In")))</f>
      </c>
      <c r="I429" s="36"/>
    </row>
    <row r="430">
      <c r="A430" s="31"/>
      <c r="B430" s="31"/>
      <c r="C430" s="37">
        <f>IF(B430="","",IFERROR(INDEX('Item master'!$B$2:$B$301,MATCH(B430,'Item master'!$A$2:$A$301,0))&amp;"",""))</f>
      </c>
      <c r="D430" s="31"/>
      <c r="E430" s="32"/>
      <c r="F430" s="38">
        <f>IF(OR(A430="",E430=""),"",IF(E430&lt;TODAY(),"Overdue",IF(E430&lt;=TODAY()+14,"Due in 14 days","OK")))</f>
      </c>
      <c r="G430" s="30"/>
      <c r="H430" s="38">
        <f>IF(A430="","",IF(COUNTIFS(Transactions!$E$2:$E$1001,A430,Transactions!$A$2:$A$1001,"Overdue")&gt;0,"Overdue",IF(COUNTIFS(Transactions!$E$2:$E$1001,A430,Transactions!$A$2:$A$1001,"Open")&gt;0,"Out","In")))</f>
      </c>
      <c r="I430" s="36"/>
    </row>
    <row r="431">
      <c r="A431" s="31"/>
      <c r="B431" s="31"/>
      <c r="C431" s="37">
        <f>IF(B431="","",IFERROR(INDEX('Item master'!$B$2:$B$301,MATCH(B431,'Item master'!$A$2:$A$301,0))&amp;"",""))</f>
      </c>
      <c r="D431" s="31"/>
      <c r="E431" s="32"/>
      <c r="F431" s="38">
        <f>IF(OR(A431="",E431=""),"",IF(E431&lt;TODAY(),"Overdue",IF(E431&lt;=TODAY()+14,"Due in 14 days","OK")))</f>
      </c>
      <c r="G431" s="30"/>
      <c r="H431" s="38">
        <f>IF(A431="","",IF(COUNTIFS(Transactions!$E$2:$E$1001,A431,Transactions!$A$2:$A$1001,"Overdue")&gt;0,"Overdue",IF(COUNTIFS(Transactions!$E$2:$E$1001,A431,Transactions!$A$2:$A$1001,"Open")&gt;0,"Out","In")))</f>
      </c>
      <c r="I431" s="36"/>
    </row>
    <row r="432">
      <c r="A432" s="31"/>
      <c r="B432" s="31"/>
      <c r="C432" s="37">
        <f>IF(B432="","",IFERROR(INDEX('Item master'!$B$2:$B$301,MATCH(B432,'Item master'!$A$2:$A$301,0))&amp;"",""))</f>
      </c>
      <c r="D432" s="31"/>
      <c r="E432" s="32"/>
      <c r="F432" s="38">
        <f>IF(OR(A432="",E432=""),"",IF(E432&lt;TODAY(),"Overdue",IF(E432&lt;=TODAY()+14,"Due in 14 days","OK")))</f>
      </c>
      <c r="G432" s="30"/>
      <c r="H432" s="38">
        <f>IF(A432="","",IF(COUNTIFS(Transactions!$E$2:$E$1001,A432,Transactions!$A$2:$A$1001,"Overdue")&gt;0,"Overdue",IF(COUNTIFS(Transactions!$E$2:$E$1001,A432,Transactions!$A$2:$A$1001,"Open")&gt;0,"Out","In")))</f>
      </c>
      <c r="I432" s="36"/>
    </row>
    <row r="433">
      <c r="A433" s="31"/>
      <c r="B433" s="31"/>
      <c r="C433" s="37">
        <f>IF(B433="","",IFERROR(INDEX('Item master'!$B$2:$B$301,MATCH(B433,'Item master'!$A$2:$A$301,0))&amp;"",""))</f>
      </c>
      <c r="D433" s="31"/>
      <c r="E433" s="32"/>
      <c r="F433" s="38">
        <f>IF(OR(A433="",E433=""),"",IF(E433&lt;TODAY(),"Overdue",IF(E433&lt;=TODAY()+14,"Due in 14 days","OK")))</f>
      </c>
      <c r="G433" s="30"/>
      <c r="H433" s="38">
        <f>IF(A433="","",IF(COUNTIFS(Transactions!$E$2:$E$1001,A433,Transactions!$A$2:$A$1001,"Overdue")&gt;0,"Overdue",IF(COUNTIFS(Transactions!$E$2:$E$1001,A433,Transactions!$A$2:$A$1001,"Open")&gt;0,"Out","In")))</f>
      </c>
      <c r="I433" s="36"/>
    </row>
    <row r="434">
      <c r="A434" s="31"/>
      <c r="B434" s="31"/>
      <c r="C434" s="37">
        <f>IF(B434="","",IFERROR(INDEX('Item master'!$B$2:$B$301,MATCH(B434,'Item master'!$A$2:$A$301,0))&amp;"",""))</f>
      </c>
      <c r="D434" s="31"/>
      <c r="E434" s="32"/>
      <c r="F434" s="38">
        <f>IF(OR(A434="",E434=""),"",IF(E434&lt;TODAY(),"Overdue",IF(E434&lt;=TODAY()+14,"Due in 14 days","OK")))</f>
      </c>
      <c r="G434" s="30"/>
      <c r="H434" s="38">
        <f>IF(A434="","",IF(COUNTIFS(Transactions!$E$2:$E$1001,A434,Transactions!$A$2:$A$1001,"Overdue")&gt;0,"Overdue",IF(COUNTIFS(Transactions!$E$2:$E$1001,A434,Transactions!$A$2:$A$1001,"Open")&gt;0,"Out","In")))</f>
      </c>
      <c r="I434" s="36"/>
    </row>
    <row r="435">
      <c r="A435" s="31"/>
      <c r="B435" s="31"/>
      <c r="C435" s="37">
        <f>IF(B435="","",IFERROR(INDEX('Item master'!$B$2:$B$301,MATCH(B435,'Item master'!$A$2:$A$301,0))&amp;"",""))</f>
      </c>
      <c r="D435" s="31"/>
      <c r="E435" s="32"/>
      <c r="F435" s="38">
        <f>IF(OR(A435="",E435=""),"",IF(E435&lt;TODAY(),"Overdue",IF(E435&lt;=TODAY()+14,"Due in 14 days","OK")))</f>
      </c>
      <c r="G435" s="30"/>
      <c r="H435" s="38">
        <f>IF(A435="","",IF(COUNTIFS(Transactions!$E$2:$E$1001,A435,Transactions!$A$2:$A$1001,"Overdue")&gt;0,"Overdue",IF(COUNTIFS(Transactions!$E$2:$E$1001,A435,Transactions!$A$2:$A$1001,"Open")&gt;0,"Out","In")))</f>
      </c>
      <c r="I435" s="36"/>
    </row>
    <row r="436">
      <c r="A436" s="31"/>
      <c r="B436" s="31"/>
      <c r="C436" s="37">
        <f>IF(B436="","",IFERROR(INDEX('Item master'!$B$2:$B$301,MATCH(B436,'Item master'!$A$2:$A$301,0))&amp;"",""))</f>
      </c>
      <c r="D436" s="31"/>
      <c r="E436" s="32"/>
      <c r="F436" s="38">
        <f>IF(OR(A436="",E436=""),"",IF(E436&lt;TODAY(),"Overdue",IF(E436&lt;=TODAY()+14,"Due in 14 days","OK")))</f>
      </c>
      <c r="G436" s="30"/>
      <c r="H436" s="38">
        <f>IF(A436="","",IF(COUNTIFS(Transactions!$E$2:$E$1001,A436,Transactions!$A$2:$A$1001,"Overdue")&gt;0,"Overdue",IF(COUNTIFS(Transactions!$E$2:$E$1001,A436,Transactions!$A$2:$A$1001,"Open")&gt;0,"Out","In")))</f>
      </c>
      <c r="I436" s="36"/>
    </row>
    <row r="437">
      <c r="A437" s="31"/>
      <c r="B437" s="31"/>
      <c r="C437" s="37">
        <f>IF(B437="","",IFERROR(INDEX('Item master'!$B$2:$B$301,MATCH(B437,'Item master'!$A$2:$A$301,0))&amp;"",""))</f>
      </c>
      <c r="D437" s="31"/>
      <c r="E437" s="32"/>
      <c r="F437" s="38">
        <f>IF(OR(A437="",E437=""),"",IF(E437&lt;TODAY(),"Overdue",IF(E437&lt;=TODAY()+14,"Due in 14 days","OK")))</f>
      </c>
      <c r="G437" s="30"/>
      <c r="H437" s="38">
        <f>IF(A437="","",IF(COUNTIFS(Transactions!$E$2:$E$1001,A437,Transactions!$A$2:$A$1001,"Overdue")&gt;0,"Overdue",IF(COUNTIFS(Transactions!$E$2:$E$1001,A437,Transactions!$A$2:$A$1001,"Open")&gt;0,"Out","In")))</f>
      </c>
      <c r="I437" s="36"/>
    </row>
    <row r="438">
      <c r="A438" s="31"/>
      <c r="B438" s="31"/>
      <c r="C438" s="37">
        <f>IF(B438="","",IFERROR(INDEX('Item master'!$B$2:$B$301,MATCH(B438,'Item master'!$A$2:$A$301,0))&amp;"",""))</f>
      </c>
      <c r="D438" s="31"/>
      <c r="E438" s="32"/>
      <c r="F438" s="38">
        <f>IF(OR(A438="",E438=""),"",IF(E438&lt;TODAY(),"Overdue",IF(E438&lt;=TODAY()+14,"Due in 14 days","OK")))</f>
      </c>
      <c r="G438" s="30"/>
      <c r="H438" s="38">
        <f>IF(A438="","",IF(COUNTIFS(Transactions!$E$2:$E$1001,A438,Transactions!$A$2:$A$1001,"Overdue")&gt;0,"Overdue",IF(COUNTIFS(Transactions!$E$2:$E$1001,A438,Transactions!$A$2:$A$1001,"Open")&gt;0,"Out","In")))</f>
      </c>
      <c r="I438" s="36"/>
    </row>
    <row r="439">
      <c r="A439" s="31"/>
      <c r="B439" s="31"/>
      <c r="C439" s="37">
        <f>IF(B439="","",IFERROR(INDEX('Item master'!$B$2:$B$301,MATCH(B439,'Item master'!$A$2:$A$301,0))&amp;"",""))</f>
      </c>
      <c r="D439" s="31"/>
      <c r="E439" s="32"/>
      <c r="F439" s="38">
        <f>IF(OR(A439="",E439=""),"",IF(E439&lt;TODAY(),"Overdue",IF(E439&lt;=TODAY()+14,"Due in 14 days","OK")))</f>
      </c>
      <c r="G439" s="30"/>
      <c r="H439" s="38">
        <f>IF(A439="","",IF(COUNTIFS(Transactions!$E$2:$E$1001,A439,Transactions!$A$2:$A$1001,"Overdue")&gt;0,"Overdue",IF(COUNTIFS(Transactions!$E$2:$E$1001,A439,Transactions!$A$2:$A$1001,"Open")&gt;0,"Out","In")))</f>
      </c>
      <c r="I439" s="36"/>
    </row>
    <row r="440">
      <c r="A440" s="31"/>
      <c r="B440" s="31"/>
      <c r="C440" s="37">
        <f>IF(B440="","",IFERROR(INDEX('Item master'!$B$2:$B$301,MATCH(B440,'Item master'!$A$2:$A$301,0))&amp;"",""))</f>
      </c>
      <c r="D440" s="31"/>
      <c r="E440" s="32"/>
      <c r="F440" s="38">
        <f>IF(OR(A440="",E440=""),"",IF(E440&lt;TODAY(),"Overdue",IF(E440&lt;=TODAY()+14,"Due in 14 days","OK")))</f>
      </c>
      <c r="G440" s="30"/>
      <c r="H440" s="38">
        <f>IF(A440="","",IF(COUNTIFS(Transactions!$E$2:$E$1001,A440,Transactions!$A$2:$A$1001,"Overdue")&gt;0,"Overdue",IF(COUNTIFS(Transactions!$E$2:$E$1001,A440,Transactions!$A$2:$A$1001,"Open")&gt;0,"Out","In")))</f>
      </c>
      <c r="I440" s="36"/>
    </row>
    <row r="441">
      <c r="A441" s="31"/>
      <c r="B441" s="31"/>
      <c r="C441" s="37">
        <f>IF(B441="","",IFERROR(INDEX('Item master'!$B$2:$B$301,MATCH(B441,'Item master'!$A$2:$A$301,0))&amp;"",""))</f>
      </c>
      <c r="D441" s="31"/>
      <c r="E441" s="32"/>
      <c r="F441" s="38">
        <f>IF(OR(A441="",E441=""),"",IF(E441&lt;TODAY(),"Overdue",IF(E441&lt;=TODAY()+14,"Due in 14 days","OK")))</f>
      </c>
      <c r="G441" s="30"/>
      <c r="H441" s="38">
        <f>IF(A441="","",IF(COUNTIFS(Transactions!$E$2:$E$1001,A441,Transactions!$A$2:$A$1001,"Overdue")&gt;0,"Overdue",IF(COUNTIFS(Transactions!$E$2:$E$1001,A441,Transactions!$A$2:$A$1001,"Open")&gt;0,"Out","In")))</f>
      </c>
      <c r="I441" s="36"/>
    </row>
    <row r="442">
      <c r="A442" s="31"/>
      <c r="B442" s="31"/>
      <c r="C442" s="37">
        <f>IF(B442="","",IFERROR(INDEX('Item master'!$B$2:$B$301,MATCH(B442,'Item master'!$A$2:$A$301,0))&amp;"",""))</f>
      </c>
      <c r="D442" s="31"/>
      <c r="E442" s="32"/>
      <c r="F442" s="38">
        <f>IF(OR(A442="",E442=""),"",IF(E442&lt;TODAY(),"Overdue",IF(E442&lt;=TODAY()+14,"Due in 14 days","OK")))</f>
      </c>
      <c r="G442" s="30"/>
      <c r="H442" s="38">
        <f>IF(A442="","",IF(COUNTIFS(Transactions!$E$2:$E$1001,A442,Transactions!$A$2:$A$1001,"Overdue")&gt;0,"Overdue",IF(COUNTIFS(Transactions!$E$2:$E$1001,A442,Transactions!$A$2:$A$1001,"Open")&gt;0,"Out","In")))</f>
      </c>
      <c r="I442" s="36"/>
    </row>
    <row r="443">
      <c r="A443" s="31"/>
      <c r="B443" s="31"/>
      <c r="C443" s="37">
        <f>IF(B443="","",IFERROR(INDEX('Item master'!$B$2:$B$301,MATCH(B443,'Item master'!$A$2:$A$301,0))&amp;"",""))</f>
      </c>
      <c r="D443" s="31"/>
      <c r="E443" s="32"/>
      <c r="F443" s="38">
        <f>IF(OR(A443="",E443=""),"",IF(E443&lt;TODAY(),"Overdue",IF(E443&lt;=TODAY()+14,"Due in 14 days","OK")))</f>
      </c>
      <c r="G443" s="30"/>
      <c r="H443" s="38">
        <f>IF(A443="","",IF(COUNTIFS(Transactions!$E$2:$E$1001,A443,Transactions!$A$2:$A$1001,"Overdue")&gt;0,"Overdue",IF(COUNTIFS(Transactions!$E$2:$E$1001,A443,Transactions!$A$2:$A$1001,"Open")&gt;0,"Out","In")))</f>
      </c>
      <c r="I443" s="36"/>
    </row>
    <row r="444">
      <c r="A444" s="31"/>
      <c r="B444" s="31"/>
      <c r="C444" s="37">
        <f>IF(B444="","",IFERROR(INDEX('Item master'!$B$2:$B$301,MATCH(B444,'Item master'!$A$2:$A$301,0))&amp;"",""))</f>
      </c>
      <c r="D444" s="31"/>
      <c r="E444" s="32"/>
      <c r="F444" s="38">
        <f>IF(OR(A444="",E444=""),"",IF(E444&lt;TODAY(),"Overdue",IF(E444&lt;=TODAY()+14,"Due in 14 days","OK")))</f>
      </c>
      <c r="G444" s="30"/>
      <c r="H444" s="38">
        <f>IF(A444="","",IF(COUNTIFS(Transactions!$E$2:$E$1001,A444,Transactions!$A$2:$A$1001,"Overdue")&gt;0,"Overdue",IF(COUNTIFS(Transactions!$E$2:$E$1001,A444,Transactions!$A$2:$A$1001,"Open")&gt;0,"Out","In")))</f>
      </c>
      <c r="I444" s="36"/>
    </row>
    <row r="445">
      <c r="A445" s="31"/>
      <c r="B445" s="31"/>
      <c r="C445" s="37">
        <f>IF(B445="","",IFERROR(INDEX('Item master'!$B$2:$B$301,MATCH(B445,'Item master'!$A$2:$A$301,0))&amp;"",""))</f>
      </c>
      <c r="D445" s="31"/>
      <c r="E445" s="32"/>
      <c r="F445" s="38">
        <f>IF(OR(A445="",E445=""),"",IF(E445&lt;TODAY(),"Overdue",IF(E445&lt;=TODAY()+14,"Due in 14 days","OK")))</f>
      </c>
      <c r="G445" s="30"/>
      <c r="H445" s="38">
        <f>IF(A445="","",IF(COUNTIFS(Transactions!$E$2:$E$1001,A445,Transactions!$A$2:$A$1001,"Overdue")&gt;0,"Overdue",IF(COUNTIFS(Transactions!$E$2:$E$1001,A445,Transactions!$A$2:$A$1001,"Open")&gt;0,"Out","In")))</f>
      </c>
      <c r="I445" s="36"/>
    </row>
    <row r="446">
      <c r="A446" s="31"/>
      <c r="B446" s="31"/>
      <c r="C446" s="37">
        <f>IF(B446="","",IFERROR(INDEX('Item master'!$B$2:$B$301,MATCH(B446,'Item master'!$A$2:$A$301,0))&amp;"",""))</f>
      </c>
      <c r="D446" s="31"/>
      <c r="E446" s="32"/>
      <c r="F446" s="38">
        <f>IF(OR(A446="",E446=""),"",IF(E446&lt;TODAY(),"Overdue",IF(E446&lt;=TODAY()+14,"Due in 14 days","OK")))</f>
      </c>
      <c r="G446" s="30"/>
      <c r="H446" s="38">
        <f>IF(A446="","",IF(COUNTIFS(Transactions!$E$2:$E$1001,A446,Transactions!$A$2:$A$1001,"Overdue")&gt;0,"Overdue",IF(COUNTIFS(Transactions!$E$2:$E$1001,A446,Transactions!$A$2:$A$1001,"Open")&gt;0,"Out","In")))</f>
      </c>
      <c r="I446" s="36"/>
    </row>
    <row r="447">
      <c r="A447" s="31"/>
      <c r="B447" s="31"/>
      <c r="C447" s="37">
        <f>IF(B447="","",IFERROR(INDEX('Item master'!$B$2:$B$301,MATCH(B447,'Item master'!$A$2:$A$301,0))&amp;"",""))</f>
      </c>
      <c r="D447" s="31"/>
      <c r="E447" s="32"/>
      <c r="F447" s="38">
        <f>IF(OR(A447="",E447=""),"",IF(E447&lt;TODAY(),"Overdue",IF(E447&lt;=TODAY()+14,"Due in 14 days","OK")))</f>
      </c>
      <c r="G447" s="30"/>
      <c r="H447" s="38">
        <f>IF(A447="","",IF(COUNTIFS(Transactions!$E$2:$E$1001,A447,Transactions!$A$2:$A$1001,"Overdue")&gt;0,"Overdue",IF(COUNTIFS(Transactions!$E$2:$E$1001,A447,Transactions!$A$2:$A$1001,"Open")&gt;0,"Out","In")))</f>
      </c>
      <c r="I447" s="36"/>
    </row>
    <row r="448">
      <c r="A448" s="31"/>
      <c r="B448" s="31"/>
      <c r="C448" s="37">
        <f>IF(B448="","",IFERROR(INDEX('Item master'!$B$2:$B$301,MATCH(B448,'Item master'!$A$2:$A$301,0))&amp;"",""))</f>
      </c>
      <c r="D448" s="31"/>
      <c r="E448" s="32"/>
      <c r="F448" s="38">
        <f>IF(OR(A448="",E448=""),"",IF(E448&lt;TODAY(),"Overdue",IF(E448&lt;=TODAY()+14,"Due in 14 days","OK")))</f>
      </c>
      <c r="G448" s="30"/>
      <c r="H448" s="38">
        <f>IF(A448="","",IF(COUNTIFS(Transactions!$E$2:$E$1001,A448,Transactions!$A$2:$A$1001,"Overdue")&gt;0,"Overdue",IF(COUNTIFS(Transactions!$E$2:$E$1001,A448,Transactions!$A$2:$A$1001,"Open")&gt;0,"Out","In")))</f>
      </c>
      <c r="I448" s="36"/>
    </row>
    <row r="449">
      <c r="A449" s="31"/>
      <c r="B449" s="31"/>
      <c r="C449" s="37">
        <f>IF(B449="","",IFERROR(INDEX('Item master'!$B$2:$B$301,MATCH(B449,'Item master'!$A$2:$A$301,0))&amp;"",""))</f>
      </c>
      <c r="D449" s="31"/>
      <c r="E449" s="32"/>
      <c r="F449" s="38">
        <f>IF(OR(A449="",E449=""),"",IF(E449&lt;TODAY(),"Overdue",IF(E449&lt;=TODAY()+14,"Due in 14 days","OK")))</f>
      </c>
      <c r="G449" s="30"/>
      <c r="H449" s="38">
        <f>IF(A449="","",IF(COUNTIFS(Transactions!$E$2:$E$1001,A449,Transactions!$A$2:$A$1001,"Overdue")&gt;0,"Overdue",IF(COUNTIFS(Transactions!$E$2:$E$1001,A449,Transactions!$A$2:$A$1001,"Open")&gt;0,"Out","In")))</f>
      </c>
      <c r="I449" s="36"/>
    </row>
    <row r="450">
      <c r="A450" s="31"/>
      <c r="B450" s="31"/>
      <c r="C450" s="37">
        <f>IF(B450="","",IFERROR(INDEX('Item master'!$B$2:$B$301,MATCH(B450,'Item master'!$A$2:$A$301,0))&amp;"",""))</f>
      </c>
      <c r="D450" s="31"/>
      <c r="E450" s="32"/>
      <c r="F450" s="38">
        <f>IF(OR(A450="",E450=""),"",IF(E450&lt;TODAY(),"Overdue",IF(E450&lt;=TODAY()+14,"Due in 14 days","OK")))</f>
      </c>
      <c r="G450" s="30"/>
      <c r="H450" s="38">
        <f>IF(A450="","",IF(COUNTIFS(Transactions!$E$2:$E$1001,A450,Transactions!$A$2:$A$1001,"Overdue")&gt;0,"Overdue",IF(COUNTIFS(Transactions!$E$2:$E$1001,A450,Transactions!$A$2:$A$1001,"Open")&gt;0,"Out","In")))</f>
      </c>
      <c r="I450" s="36"/>
    </row>
    <row r="451">
      <c r="A451" s="31"/>
      <c r="B451" s="31"/>
      <c r="C451" s="37">
        <f>IF(B451="","",IFERROR(INDEX('Item master'!$B$2:$B$301,MATCH(B451,'Item master'!$A$2:$A$301,0))&amp;"",""))</f>
      </c>
      <c r="D451" s="31"/>
      <c r="E451" s="32"/>
      <c r="F451" s="38">
        <f>IF(OR(A451="",E451=""),"",IF(E451&lt;TODAY(),"Overdue",IF(E451&lt;=TODAY()+14,"Due in 14 days","OK")))</f>
      </c>
      <c r="G451" s="30"/>
      <c r="H451" s="38">
        <f>IF(A451="","",IF(COUNTIFS(Transactions!$E$2:$E$1001,A451,Transactions!$A$2:$A$1001,"Overdue")&gt;0,"Overdue",IF(COUNTIFS(Transactions!$E$2:$E$1001,A451,Transactions!$A$2:$A$1001,"Open")&gt;0,"Out","In")))</f>
      </c>
      <c r="I451" s="36"/>
    </row>
    <row r="452">
      <c r="A452" s="31"/>
      <c r="B452" s="31"/>
      <c r="C452" s="37">
        <f>IF(B452="","",IFERROR(INDEX('Item master'!$B$2:$B$301,MATCH(B452,'Item master'!$A$2:$A$301,0))&amp;"",""))</f>
      </c>
      <c r="D452" s="31"/>
      <c r="E452" s="32"/>
      <c r="F452" s="38">
        <f>IF(OR(A452="",E452=""),"",IF(E452&lt;TODAY(),"Overdue",IF(E452&lt;=TODAY()+14,"Due in 14 days","OK")))</f>
      </c>
      <c r="G452" s="30"/>
      <c r="H452" s="38">
        <f>IF(A452="","",IF(COUNTIFS(Transactions!$E$2:$E$1001,A452,Transactions!$A$2:$A$1001,"Overdue")&gt;0,"Overdue",IF(COUNTIFS(Transactions!$E$2:$E$1001,A452,Transactions!$A$2:$A$1001,"Open")&gt;0,"Out","In")))</f>
      </c>
      <c r="I452" s="36"/>
    </row>
    <row r="453">
      <c r="A453" s="31"/>
      <c r="B453" s="31"/>
      <c r="C453" s="37">
        <f>IF(B453="","",IFERROR(INDEX('Item master'!$B$2:$B$301,MATCH(B453,'Item master'!$A$2:$A$301,0))&amp;"",""))</f>
      </c>
      <c r="D453" s="31"/>
      <c r="E453" s="32"/>
      <c r="F453" s="38">
        <f>IF(OR(A453="",E453=""),"",IF(E453&lt;TODAY(),"Overdue",IF(E453&lt;=TODAY()+14,"Due in 14 days","OK")))</f>
      </c>
      <c r="G453" s="30"/>
      <c r="H453" s="38">
        <f>IF(A453="","",IF(COUNTIFS(Transactions!$E$2:$E$1001,A453,Transactions!$A$2:$A$1001,"Overdue")&gt;0,"Overdue",IF(COUNTIFS(Transactions!$E$2:$E$1001,A453,Transactions!$A$2:$A$1001,"Open")&gt;0,"Out","In")))</f>
      </c>
      <c r="I453" s="36"/>
    </row>
    <row r="454">
      <c r="A454" s="31"/>
      <c r="B454" s="31"/>
      <c r="C454" s="37">
        <f>IF(B454="","",IFERROR(INDEX('Item master'!$B$2:$B$301,MATCH(B454,'Item master'!$A$2:$A$301,0))&amp;"",""))</f>
      </c>
      <c r="D454" s="31"/>
      <c r="E454" s="32"/>
      <c r="F454" s="38">
        <f>IF(OR(A454="",E454=""),"",IF(E454&lt;TODAY(),"Overdue",IF(E454&lt;=TODAY()+14,"Due in 14 days","OK")))</f>
      </c>
      <c r="G454" s="30"/>
      <c r="H454" s="38">
        <f>IF(A454="","",IF(COUNTIFS(Transactions!$E$2:$E$1001,A454,Transactions!$A$2:$A$1001,"Overdue")&gt;0,"Overdue",IF(COUNTIFS(Transactions!$E$2:$E$1001,A454,Transactions!$A$2:$A$1001,"Open")&gt;0,"Out","In")))</f>
      </c>
      <c r="I454" s="36"/>
    </row>
    <row r="455">
      <c r="A455" s="31"/>
      <c r="B455" s="31"/>
      <c r="C455" s="37">
        <f>IF(B455="","",IFERROR(INDEX('Item master'!$B$2:$B$301,MATCH(B455,'Item master'!$A$2:$A$301,0))&amp;"",""))</f>
      </c>
      <c r="D455" s="31"/>
      <c r="E455" s="32"/>
      <c r="F455" s="38">
        <f>IF(OR(A455="",E455=""),"",IF(E455&lt;TODAY(),"Overdue",IF(E455&lt;=TODAY()+14,"Due in 14 days","OK")))</f>
      </c>
      <c r="G455" s="30"/>
      <c r="H455" s="38">
        <f>IF(A455="","",IF(COUNTIFS(Transactions!$E$2:$E$1001,A455,Transactions!$A$2:$A$1001,"Overdue")&gt;0,"Overdue",IF(COUNTIFS(Transactions!$E$2:$E$1001,A455,Transactions!$A$2:$A$1001,"Open")&gt;0,"Out","In")))</f>
      </c>
      <c r="I455" s="36"/>
    </row>
    <row r="456">
      <c r="A456" s="31"/>
      <c r="B456" s="31"/>
      <c r="C456" s="37">
        <f>IF(B456="","",IFERROR(INDEX('Item master'!$B$2:$B$301,MATCH(B456,'Item master'!$A$2:$A$301,0))&amp;"",""))</f>
      </c>
      <c r="D456" s="31"/>
      <c r="E456" s="32"/>
      <c r="F456" s="38">
        <f>IF(OR(A456="",E456=""),"",IF(E456&lt;TODAY(),"Overdue",IF(E456&lt;=TODAY()+14,"Due in 14 days","OK")))</f>
      </c>
      <c r="G456" s="30"/>
      <c r="H456" s="38">
        <f>IF(A456="","",IF(COUNTIFS(Transactions!$E$2:$E$1001,A456,Transactions!$A$2:$A$1001,"Overdue")&gt;0,"Overdue",IF(COUNTIFS(Transactions!$E$2:$E$1001,A456,Transactions!$A$2:$A$1001,"Open")&gt;0,"Out","In")))</f>
      </c>
      <c r="I456" s="36"/>
    </row>
    <row r="457">
      <c r="A457" s="31"/>
      <c r="B457" s="31"/>
      <c r="C457" s="37">
        <f>IF(B457="","",IFERROR(INDEX('Item master'!$B$2:$B$301,MATCH(B457,'Item master'!$A$2:$A$301,0))&amp;"",""))</f>
      </c>
      <c r="D457" s="31"/>
      <c r="E457" s="32"/>
      <c r="F457" s="38">
        <f>IF(OR(A457="",E457=""),"",IF(E457&lt;TODAY(),"Overdue",IF(E457&lt;=TODAY()+14,"Due in 14 days","OK")))</f>
      </c>
      <c r="G457" s="30"/>
      <c r="H457" s="38">
        <f>IF(A457="","",IF(COUNTIFS(Transactions!$E$2:$E$1001,A457,Transactions!$A$2:$A$1001,"Overdue")&gt;0,"Overdue",IF(COUNTIFS(Transactions!$E$2:$E$1001,A457,Transactions!$A$2:$A$1001,"Open")&gt;0,"Out","In")))</f>
      </c>
      <c r="I457" s="36"/>
    </row>
    <row r="458">
      <c r="A458" s="31"/>
      <c r="B458" s="31"/>
      <c r="C458" s="37">
        <f>IF(B458="","",IFERROR(INDEX('Item master'!$B$2:$B$301,MATCH(B458,'Item master'!$A$2:$A$301,0))&amp;"",""))</f>
      </c>
      <c r="D458" s="31"/>
      <c r="E458" s="32"/>
      <c r="F458" s="38">
        <f>IF(OR(A458="",E458=""),"",IF(E458&lt;TODAY(),"Overdue",IF(E458&lt;=TODAY()+14,"Due in 14 days","OK")))</f>
      </c>
      <c r="G458" s="30"/>
      <c r="H458" s="38">
        <f>IF(A458="","",IF(COUNTIFS(Transactions!$E$2:$E$1001,A458,Transactions!$A$2:$A$1001,"Overdue")&gt;0,"Overdue",IF(COUNTIFS(Transactions!$E$2:$E$1001,A458,Transactions!$A$2:$A$1001,"Open")&gt;0,"Out","In")))</f>
      </c>
      <c r="I458" s="36"/>
    </row>
    <row r="459">
      <c r="A459" s="31"/>
      <c r="B459" s="31"/>
      <c r="C459" s="37">
        <f>IF(B459="","",IFERROR(INDEX('Item master'!$B$2:$B$301,MATCH(B459,'Item master'!$A$2:$A$301,0))&amp;"",""))</f>
      </c>
      <c r="D459" s="31"/>
      <c r="E459" s="32"/>
      <c r="F459" s="38">
        <f>IF(OR(A459="",E459=""),"",IF(E459&lt;TODAY(),"Overdue",IF(E459&lt;=TODAY()+14,"Due in 14 days","OK")))</f>
      </c>
      <c r="G459" s="30"/>
      <c r="H459" s="38">
        <f>IF(A459="","",IF(COUNTIFS(Transactions!$E$2:$E$1001,A459,Transactions!$A$2:$A$1001,"Overdue")&gt;0,"Overdue",IF(COUNTIFS(Transactions!$E$2:$E$1001,A459,Transactions!$A$2:$A$1001,"Open")&gt;0,"Out","In")))</f>
      </c>
      <c r="I459" s="36"/>
    </row>
    <row r="460">
      <c r="A460" s="31"/>
      <c r="B460" s="31"/>
      <c r="C460" s="37">
        <f>IF(B460="","",IFERROR(INDEX('Item master'!$B$2:$B$301,MATCH(B460,'Item master'!$A$2:$A$301,0))&amp;"",""))</f>
      </c>
      <c r="D460" s="31"/>
      <c r="E460" s="32"/>
      <c r="F460" s="38">
        <f>IF(OR(A460="",E460=""),"",IF(E460&lt;TODAY(),"Overdue",IF(E460&lt;=TODAY()+14,"Due in 14 days","OK")))</f>
      </c>
      <c r="G460" s="30"/>
      <c r="H460" s="38">
        <f>IF(A460="","",IF(COUNTIFS(Transactions!$E$2:$E$1001,A460,Transactions!$A$2:$A$1001,"Overdue")&gt;0,"Overdue",IF(COUNTIFS(Transactions!$E$2:$E$1001,A460,Transactions!$A$2:$A$1001,"Open")&gt;0,"Out","In")))</f>
      </c>
      <c r="I460" s="36"/>
    </row>
    <row r="461">
      <c r="A461" s="31"/>
      <c r="B461" s="31"/>
      <c r="C461" s="37">
        <f>IF(B461="","",IFERROR(INDEX('Item master'!$B$2:$B$301,MATCH(B461,'Item master'!$A$2:$A$301,0))&amp;"",""))</f>
      </c>
      <c r="D461" s="31"/>
      <c r="E461" s="32"/>
      <c r="F461" s="38">
        <f>IF(OR(A461="",E461=""),"",IF(E461&lt;TODAY(),"Overdue",IF(E461&lt;=TODAY()+14,"Due in 14 days","OK")))</f>
      </c>
      <c r="G461" s="30"/>
      <c r="H461" s="38">
        <f>IF(A461="","",IF(COUNTIFS(Transactions!$E$2:$E$1001,A461,Transactions!$A$2:$A$1001,"Overdue")&gt;0,"Overdue",IF(COUNTIFS(Transactions!$E$2:$E$1001,A461,Transactions!$A$2:$A$1001,"Open")&gt;0,"Out","In")))</f>
      </c>
      <c r="I461" s="36"/>
    </row>
    <row r="462">
      <c r="A462" s="31"/>
      <c r="B462" s="31"/>
      <c r="C462" s="37">
        <f>IF(B462="","",IFERROR(INDEX('Item master'!$B$2:$B$301,MATCH(B462,'Item master'!$A$2:$A$301,0))&amp;"",""))</f>
      </c>
      <c r="D462" s="31"/>
      <c r="E462" s="32"/>
      <c r="F462" s="38">
        <f>IF(OR(A462="",E462=""),"",IF(E462&lt;TODAY(),"Overdue",IF(E462&lt;=TODAY()+14,"Due in 14 days","OK")))</f>
      </c>
      <c r="G462" s="30"/>
      <c r="H462" s="38">
        <f>IF(A462="","",IF(COUNTIFS(Transactions!$E$2:$E$1001,A462,Transactions!$A$2:$A$1001,"Overdue")&gt;0,"Overdue",IF(COUNTIFS(Transactions!$E$2:$E$1001,A462,Transactions!$A$2:$A$1001,"Open")&gt;0,"Out","In")))</f>
      </c>
      <c r="I462" s="36"/>
    </row>
    <row r="463">
      <c r="A463" s="31"/>
      <c r="B463" s="31"/>
      <c r="C463" s="37">
        <f>IF(B463="","",IFERROR(INDEX('Item master'!$B$2:$B$301,MATCH(B463,'Item master'!$A$2:$A$301,0))&amp;"",""))</f>
      </c>
      <c r="D463" s="31"/>
      <c r="E463" s="32"/>
      <c r="F463" s="38">
        <f>IF(OR(A463="",E463=""),"",IF(E463&lt;TODAY(),"Overdue",IF(E463&lt;=TODAY()+14,"Due in 14 days","OK")))</f>
      </c>
      <c r="G463" s="30"/>
      <c r="H463" s="38">
        <f>IF(A463="","",IF(COUNTIFS(Transactions!$E$2:$E$1001,A463,Transactions!$A$2:$A$1001,"Overdue")&gt;0,"Overdue",IF(COUNTIFS(Transactions!$E$2:$E$1001,A463,Transactions!$A$2:$A$1001,"Open")&gt;0,"Out","In")))</f>
      </c>
      <c r="I463" s="36"/>
    </row>
    <row r="464">
      <c r="A464" s="31"/>
      <c r="B464" s="31"/>
      <c r="C464" s="37">
        <f>IF(B464="","",IFERROR(INDEX('Item master'!$B$2:$B$301,MATCH(B464,'Item master'!$A$2:$A$301,0))&amp;"",""))</f>
      </c>
      <c r="D464" s="31"/>
      <c r="E464" s="32"/>
      <c r="F464" s="38">
        <f>IF(OR(A464="",E464=""),"",IF(E464&lt;TODAY(),"Overdue",IF(E464&lt;=TODAY()+14,"Due in 14 days","OK")))</f>
      </c>
      <c r="G464" s="30"/>
      <c r="H464" s="38">
        <f>IF(A464="","",IF(COUNTIFS(Transactions!$E$2:$E$1001,A464,Transactions!$A$2:$A$1001,"Overdue")&gt;0,"Overdue",IF(COUNTIFS(Transactions!$E$2:$E$1001,A464,Transactions!$A$2:$A$1001,"Open")&gt;0,"Out","In")))</f>
      </c>
      <c r="I464" s="36"/>
    </row>
    <row r="465">
      <c r="A465" s="31"/>
      <c r="B465" s="31"/>
      <c r="C465" s="37">
        <f>IF(B465="","",IFERROR(INDEX('Item master'!$B$2:$B$301,MATCH(B465,'Item master'!$A$2:$A$301,0))&amp;"",""))</f>
      </c>
      <c r="D465" s="31"/>
      <c r="E465" s="32"/>
      <c r="F465" s="38">
        <f>IF(OR(A465="",E465=""),"",IF(E465&lt;TODAY(),"Overdue",IF(E465&lt;=TODAY()+14,"Due in 14 days","OK")))</f>
      </c>
      <c r="G465" s="30"/>
      <c r="H465" s="38">
        <f>IF(A465="","",IF(COUNTIFS(Transactions!$E$2:$E$1001,A465,Transactions!$A$2:$A$1001,"Overdue")&gt;0,"Overdue",IF(COUNTIFS(Transactions!$E$2:$E$1001,A465,Transactions!$A$2:$A$1001,"Open")&gt;0,"Out","In")))</f>
      </c>
      <c r="I465" s="36"/>
    </row>
    <row r="466">
      <c r="A466" s="31"/>
      <c r="B466" s="31"/>
      <c r="C466" s="37">
        <f>IF(B466="","",IFERROR(INDEX('Item master'!$B$2:$B$301,MATCH(B466,'Item master'!$A$2:$A$301,0))&amp;"",""))</f>
      </c>
      <c r="D466" s="31"/>
      <c r="E466" s="32"/>
      <c r="F466" s="38">
        <f>IF(OR(A466="",E466=""),"",IF(E466&lt;TODAY(),"Overdue",IF(E466&lt;=TODAY()+14,"Due in 14 days","OK")))</f>
      </c>
      <c r="G466" s="30"/>
      <c r="H466" s="38">
        <f>IF(A466="","",IF(COUNTIFS(Transactions!$E$2:$E$1001,A466,Transactions!$A$2:$A$1001,"Overdue")&gt;0,"Overdue",IF(COUNTIFS(Transactions!$E$2:$E$1001,A466,Transactions!$A$2:$A$1001,"Open")&gt;0,"Out","In")))</f>
      </c>
      <c r="I466" s="36"/>
    </row>
    <row r="467">
      <c r="A467" s="31"/>
      <c r="B467" s="31"/>
      <c r="C467" s="37">
        <f>IF(B467="","",IFERROR(INDEX('Item master'!$B$2:$B$301,MATCH(B467,'Item master'!$A$2:$A$301,0))&amp;"",""))</f>
      </c>
      <c r="D467" s="31"/>
      <c r="E467" s="32"/>
      <c r="F467" s="38">
        <f>IF(OR(A467="",E467=""),"",IF(E467&lt;TODAY(),"Overdue",IF(E467&lt;=TODAY()+14,"Due in 14 days","OK")))</f>
      </c>
      <c r="G467" s="30"/>
      <c r="H467" s="38">
        <f>IF(A467="","",IF(COUNTIFS(Transactions!$E$2:$E$1001,A467,Transactions!$A$2:$A$1001,"Overdue")&gt;0,"Overdue",IF(COUNTIFS(Transactions!$E$2:$E$1001,A467,Transactions!$A$2:$A$1001,"Open")&gt;0,"Out","In")))</f>
      </c>
      <c r="I467" s="36"/>
    </row>
    <row r="468">
      <c r="A468" s="31"/>
      <c r="B468" s="31"/>
      <c r="C468" s="37">
        <f>IF(B468="","",IFERROR(INDEX('Item master'!$B$2:$B$301,MATCH(B468,'Item master'!$A$2:$A$301,0))&amp;"",""))</f>
      </c>
      <c r="D468" s="31"/>
      <c r="E468" s="32"/>
      <c r="F468" s="38">
        <f>IF(OR(A468="",E468=""),"",IF(E468&lt;TODAY(),"Overdue",IF(E468&lt;=TODAY()+14,"Due in 14 days","OK")))</f>
      </c>
      <c r="G468" s="30"/>
      <c r="H468" s="38">
        <f>IF(A468="","",IF(COUNTIFS(Transactions!$E$2:$E$1001,A468,Transactions!$A$2:$A$1001,"Overdue")&gt;0,"Overdue",IF(COUNTIFS(Transactions!$E$2:$E$1001,A468,Transactions!$A$2:$A$1001,"Open")&gt;0,"Out","In")))</f>
      </c>
      <c r="I468" s="36"/>
    </row>
    <row r="469">
      <c r="A469" s="31"/>
      <c r="B469" s="31"/>
      <c r="C469" s="37">
        <f>IF(B469="","",IFERROR(INDEX('Item master'!$B$2:$B$301,MATCH(B469,'Item master'!$A$2:$A$301,0))&amp;"",""))</f>
      </c>
      <c r="D469" s="31"/>
      <c r="E469" s="32"/>
      <c r="F469" s="38">
        <f>IF(OR(A469="",E469=""),"",IF(E469&lt;TODAY(),"Overdue",IF(E469&lt;=TODAY()+14,"Due in 14 days","OK")))</f>
      </c>
      <c r="G469" s="30"/>
      <c r="H469" s="38">
        <f>IF(A469="","",IF(COUNTIFS(Transactions!$E$2:$E$1001,A469,Transactions!$A$2:$A$1001,"Overdue")&gt;0,"Overdue",IF(COUNTIFS(Transactions!$E$2:$E$1001,A469,Transactions!$A$2:$A$1001,"Open")&gt;0,"Out","In")))</f>
      </c>
      <c r="I469" s="36"/>
    </row>
    <row r="470">
      <c r="A470" s="31"/>
      <c r="B470" s="31"/>
      <c r="C470" s="37">
        <f>IF(B470="","",IFERROR(INDEX('Item master'!$B$2:$B$301,MATCH(B470,'Item master'!$A$2:$A$301,0))&amp;"",""))</f>
      </c>
      <c r="D470" s="31"/>
      <c r="E470" s="32"/>
      <c r="F470" s="38">
        <f>IF(OR(A470="",E470=""),"",IF(E470&lt;TODAY(),"Overdue",IF(E470&lt;=TODAY()+14,"Due in 14 days","OK")))</f>
      </c>
      <c r="G470" s="30"/>
      <c r="H470" s="38">
        <f>IF(A470="","",IF(COUNTIFS(Transactions!$E$2:$E$1001,A470,Transactions!$A$2:$A$1001,"Overdue")&gt;0,"Overdue",IF(COUNTIFS(Transactions!$E$2:$E$1001,A470,Transactions!$A$2:$A$1001,"Open")&gt;0,"Out","In")))</f>
      </c>
      <c r="I470" s="36"/>
    </row>
    <row r="471">
      <c r="A471" s="31"/>
      <c r="B471" s="31"/>
      <c r="C471" s="37">
        <f>IF(B471="","",IFERROR(INDEX('Item master'!$B$2:$B$301,MATCH(B471,'Item master'!$A$2:$A$301,0))&amp;"",""))</f>
      </c>
      <c r="D471" s="31"/>
      <c r="E471" s="32"/>
      <c r="F471" s="38">
        <f>IF(OR(A471="",E471=""),"",IF(E471&lt;TODAY(),"Overdue",IF(E471&lt;=TODAY()+14,"Due in 14 days","OK")))</f>
      </c>
      <c r="G471" s="30"/>
      <c r="H471" s="38">
        <f>IF(A471="","",IF(COUNTIFS(Transactions!$E$2:$E$1001,A471,Transactions!$A$2:$A$1001,"Overdue")&gt;0,"Overdue",IF(COUNTIFS(Transactions!$E$2:$E$1001,A471,Transactions!$A$2:$A$1001,"Open")&gt;0,"Out","In")))</f>
      </c>
      <c r="I471" s="36"/>
    </row>
    <row r="472">
      <c r="A472" s="31"/>
      <c r="B472" s="31"/>
      <c r="C472" s="37">
        <f>IF(B472="","",IFERROR(INDEX('Item master'!$B$2:$B$301,MATCH(B472,'Item master'!$A$2:$A$301,0))&amp;"",""))</f>
      </c>
      <c r="D472" s="31"/>
      <c r="E472" s="32"/>
      <c r="F472" s="38">
        <f>IF(OR(A472="",E472=""),"",IF(E472&lt;TODAY(),"Overdue",IF(E472&lt;=TODAY()+14,"Due in 14 days","OK")))</f>
      </c>
      <c r="G472" s="30"/>
      <c r="H472" s="38">
        <f>IF(A472="","",IF(COUNTIFS(Transactions!$E$2:$E$1001,A472,Transactions!$A$2:$A$1001,"Overdue")&gt;0,"Overdue",IF(COUNTIFS(Transactions!$E$2:$E$1001,A472,Transactions!$A$2:$A$1001,"Open")&gt;0,"Out","In")))</f>
      </c>
      <c r="I472" s="36"/>
    </row>
    <row r="473">
      <c r="A473" s="31"/>
      <c r="B473" s="31"/>
      <c r="C473" s="37">
        <f>IF(B473="","",IFERROR(INDEX('Item master'!$B$2:$B$301,MATCH(B473,'Item master'!$A$2:$A$301,0))&amp;"",""))</f>
      </c>
      <c r="D473" s="31"/>
      <c r="E473" s="32"/>
      <c r="F473" s="38">
        <f>IF(OR(A473="",E473=""),"",IF(E473&lt;TODAY(),"Overdue",IF(E473&lt;=TODAY()+14,"Due in 14 days","OK")))</f>
      </c>
      <c r="G473" s="30"/>
      <c r="H473" s="38">
        <f>IF(A473="","",IF(COUNTIFS(Transactions!$E$2:$E$1001,A473,Transactions!$A$2:$A$1001,"Overdue")&gt;0,"Overdue",IF(COUNTIFS(Transactions!$E$2:$E$1001,A473,Transactions!$A$2:$A$1001,"Open")&gt;0,"Out","In")))</f>
      </c>
      <c r="I473" s="36"/>
    </row>
    <row r="474">
      <c r="A474" s="31"/>
      <c r="B474" s="31"/>
      <c r="C474" s="37">
        <f>IF(B474="","",IFERROR(INDEX('Item master'!$B$2:$B$301,MATCH(B474,'Item master'!$A$2:$A$301,0))&amp;"",""))</f>
      </c>
      <c r="D474" s="31"/>
      <c r="E474" s="32"/>
      <c r="F474" s="38">
        <f>IF(OR(A474="",E474=""),"",IF(E474&lt;TODAY(),"Overdue",IF(E474&lt;=TODAY()+14,"Due in 14 days","OK")))</f>
      </c>
      <c r="G474" s="30"/>
      <c r="H474" s="38">
        <f>IF(A474="","",IF(COUNTIFS(Transactions!$E$2:$E$1001,A474,Transactions!$A$2:$A$1001,"Overdue")&gt;0,"Overdue",IF(COUNTIFS(Transactions!$E$2:$E$1001,A474,Transactions!$A$2:$A$1001,"Open")&gt;0,"Out","In")))</f>
      </c>
      <c r="I474" s="36"/>
    </row>
    <row r="475">
      <c r="A475" s="31"/>
      <c r="B475" s="31"/>
      <c r="C475" s="37">
        <f>IF(B475="","",IFERROR(INDEX('Item master'!$B$2:$B$301,MATCH(B475,'Item master'!$A$2:$A$301,0))&amp;"",""))</f>
      </c>
      <c r="D475" s="31"/>
      <c r="E475" s="32"/>
      <c r="F475" s="38">
        <f>IF(OR(A475="",E475=""),"",IF(E475&lt;TODAY(),"Overdue",IF(E475&lt;=TODAY()+14,"Due in 14 days","OK")))</f>
      </c>
      <c r="G475" s="30"/>
      <c r="H475" s="38">
        <f>IF(A475="","",IF(COUNTIFS(Transactions!$E$2:$E$1001,A475,Transactions!$A$2:$A$1001,"Overdue")&gt;0,"Overdue",IF(COUNTIFS(Transactions!$E$2:$E$1001,A475,Transactions!$A$2:$A$1001,"Open")&gt;0,"Out","In")))</f>
      </c>
      <c r="I475" s="36"/>
    </row>
    <row r="476">
      <c r="A476" s="31"/>
      <c r="B476" s="31"/>
      <c r="C476" s="37">
        <f>IF(B476="","",IFERROR(INDEX('Item master'!$B$2:$B$301,MATCH(B476,'Item master'!$A$2:$A$301,0))&amp;"",""))</f>
      </c>
      <c r="D476" s="31"/>
      <c r="E476" s="32"/>
      <c r="F476" s="38">
        <f>IF(OR(A476="",E476=""),"",IF(E476&lt;TODAY(),"Overdue",IF(E476&lt;=TODAY()+14,"Due in 14 days","OK")))</f>
      </c>
      <c r="G476" s="30"/>
      <c r="H476" s="38">
        <f>IF(A476="","",IF(COUNTIFS(Transactions!$E$2:$E$1001,A476,Transactions!$A$2:$A$1001,"Overdue")&gt;0,"Overdue",IF(COUNTIFS(Transactions!$E$2:$E$1001,A476,Transactions!$A$2:$A$1001,"Open")&gt;0,"Out","In")))</f>
      </c>
      <c r="I476" s="36"/>
    </row>
    <row r="477">
      <c r="A477" s="31"/>
      <c r="B477" s="31"/>
      <c r="C477" s="37">
        <f>IF(B477="","",IFERROR(INDEX('Item master'!$B$2:$B$301,MATCH(B477,'Item master'!$A$2:$A$301,0))&amp;"",""))</f>
      </c>
      <c r="D477" s="31"/>
      <c r="E477" s="32"/>
      <c r="F477" s="38">
        <f>IF(OR(A477="",E477=""),"",IF(E477&lt;TODAY(),"Overdue",IF(E477&lt;=TODAY()+14,"Due in 14 days","OK")))</f>
      </c>
      <c r="G477" s="30"/>
      <c r="H477" s="38">
        <f>IF(A477="","",IF(COUNTIFS(Transactions!$E$2:$E$1001,A477,Transactions!$A$2:$A$1001,"Overdue")&gt;0,"Overdue",IF(COUNTIFS(Transactions!$E$2:$E$1001,A477,Transactions!$A$2:$A$1001,"Open")&gt;0,"Out","In")))</f>
      </c>
      <c r="I477" s="36"/>
    </row>
    <row r="478">
      <c r="A478" s="31"/>
      <c r="B478" s="31"/>
      <c r="C478" s="37">
        <f>IF(B478="","",IFERROR(INDEX('Item master'!$B$2:$B$301,MATCH(B478,'Item master'!$A$2:$A$301,0))&amp;"",""))</f>
      </c>
      <c r="D478" s="31"/>
      <c r="E478" s="32"/>
      <c r="F478" s="38">
        <f>IF(OR(A478="",E478=""),"",IF(E478&lt;TODAY(),"Overdue",IF(E478&lt;=TODAY()+14,"Due in 14 days","OK")))</f>
      </c>
      <c r="G478" s="30"/>
      <c r="H478" s="38">
        <f>IF(A478="","",IF(COUNTIFS(Transactions!$E$2:$E$1001,A478,Transactions!$A$2:$A$1001,"Overdue")&gt;0,"Overdue",IF(COUNTIFS(Transactions!$E$2:$E$1001,A478,Transactions!$A$2:$A$1001,"Open")&gt;0,"Out","In")))</f>
      </c>
      <c r="I478" s="36"/>
    </row>
    <row r="479">
      <c r="A479" s="31"/>
      <c r="B479" s="31"/>
      <c r="C479" s="37">
        <f>IF(B479="","",IFERROR(INDEX('Item master'!$B$2:$B$301,MATCH(B479,'Item master'!$A$2:$A$301,0))&amp;"",""))</f>
      </c>
      <c r="D479" s="31"/>
      <c r="E479" s="32"/>
      <c r="F479" s="38">
        <f>IF(OR(A479="",E479=""),"",IF(E479&lt;TODAY(),"Overdue",IF(E479&lt;=TODAY()+14,"Due in 14 days","OK")))</f>
      </c>
      <c r="G479" s="30"/>
      <c r="H479" s="38">
        <f>IF(A479="","",IF(COUNTIFS(Transactions!$E$2:$E$1001,A479,Transactions!$A$2:$A$1001,"Overdue")&gt;0,"Overdue",IF(COUNTIFS(Transactions!$E$2:$E$1001,A479,Transactions!$A$2:$A$1001,"Open")&gt;0,"Out","In")))</f>
      </c>
      <c r="I479" s="36"/>
    </row>
    <row r="480">
      <c r="A480" s="31"/>
      <c r="B480" s="31"/>
      <c r="C480" s="37">
        <f>IF(B480="","",IFERROR(INDEX('Item master'!$B$2:$B$301,MATCH(B480,'Item master'!$A$2:$A$301,0))&amp;"",""))</f>
      </c>
      <c r="D480" s="31"/>
      <c r="E480" s="32"/>
      <c r="F480" s="38">
        <f>IF(OR(A480="",E480=""),"",IF(E480&lt;TODAY(),"Overdue",IF(E480&lt;=TODAY()+14,"Due in 14 days","OK")))</f>
      </c>
      <c r="G480" s="30"/>
      <c r="H480" s="38">
        <f>IF(A480="","",IF(COUNTIFS(Transactions!$E$2:$E$1001,A480,Transactions!$A$2:$A$1001,"Overdue")&gt;0,"Overdue",IF(COUNTIFS(Transactions!$E$2:$E$1001,A480,Transactions!$A$2:$A$1001,"Open")&gt;0,"Out","In")))</f>
      </c>
      <c r="I480" s="36"/>
    </row>
    <row r="481">
      <c r="A481" s="31"/>
      <c r="B481" s="31"/>
      <c r="C481" s="37">
        <f>IF(B481="","",IFERROR(INDEX('Item master'!$B$2:$B$301,MATCH(B481,'Item master'!$A$2:$A$301,0))&amp;"",""))</f>
      </c>
      <c r="D481" s="31"/>
      <c r="E481" s="32"/>
      <c r="F481" s="38">
        <f>IF(OR(A481="",E481=""),"",IF(E481&lt;TODAY(),"Overdue",IF(E481&lt;=TODAY()+14,"Due in 14 days","OK")))</f>
      </c>
      <c r="G481" s="30"/>
      <c r="H481" s="38">
        <f>IF(A481="","",IF(COUNTIFS(Transactions!$E$2:$E$1001,A481,Transactions!$A$2:$A$1001,"Overdue")&gt;0,"Overdue",IF(COUNTIFS(Transactions!$E$2:$E$1001,A481,Transactions!$A$2:$A$1001,"Open")&gt;0,"Out","In")))</f>
      </c>
      <c r="I481" s="36"/>
    </row>
    <row r="482">
      <c r="A482" s="31"/>
      <c r="B482" s="31"/>
      <c r="C482" s="37">
        <f>IF(B482="","",IFERROR(INDEX('Item master'!$B$2:$B$301,MATCH(B482,'Item master'!$A$2:$A$301,0))&amp;"",""))</f>
      </c>
      <c r="D482" s="31"/>
      <c r="E482" s="32"/>
      <c r="F482" s="38">
        <f>IF(OR(A482="",E482=""),"",IF(E482&lt;TODAY(),"Overdue",IF(E482&lt;=TODAY()+14,"Due in 14 days","OK")))</f>
      </c>
      <c r="G482" s="30"/>
      <c r="H482" s="38">
        <f>IF(A482="","",IF(COUNTIFS(Transactions!$E$2:$E$1001,A482,Transactions!$A$2:$A$1001,"Overdue")&gt;0,"Overdue",IF(COUNTIFS(Transactions!$E$2:$E$1001,A482,Transactions!$A$2:$A$1001,"Open")&gt;0,"Out","In")))</f>
      </c>
      <c r="I482" s="36"/>
    </row>
    <row r="483">
      <c r="A483" s="31"/>
      <c r="B483" s="31"/>
      <c r="C483" s="37">
        <f>IF(B483="","",IFERROR(INDEX('Item master'!$B$2:$B$301,MATCH(B483,'Item master'!$A$2:$A$301,0))&amp;"",""))</f>
      </c>
      <c r="D483" s="31"/>
      <c r="E483" s="32"/>
      <c r="F483" s="38">
        <f>IF(OR(A483="",E483=""),"",IF(E483&lt;TODAY(),"Overdue",IF(E483&lt;=TODAY()+14,"Due in 14 days","OK")))</f>
      </c>
      <c r="G483" s="30"/>
      <c r="H483" s="38">
        <f>IF(A483="","",IF(COUNTIFS(Transactions!$E$2:$E$1001,A483,Transactions!$A$2:$A$1001,"Overdue")&gt;0,"Overdue",IF(COUNTIFS(Transactions!$E$2:$E$1001,A483,Transactions!$A$2:$A$1001,"Open")&gt;0,"Out","In")))</f>
      </c>
      <c r="I483" s="36"/>
    </row>
    <row r="484">
      <c r="A484" s="31"/>
      <c r="B484" s="31"/>
      <c r="C484" s="37">
        <f>IF(B484="","",IFERROR(INDEX('Item master'!$B$2:$B$301,MATCH(B484,'Item master'!$A$2:$A$301,0))&amp;"",""))</f>
      </c>
      <c r="D484" s="31"/>
      <c r="E484" s="32"/>
      <c r="F484" s="38">
        <f>IF(OR(A484="",E484=""),"",IF(E484&lt;TODAY(),"Overdue",IF(E484&lt;=TODAY()+14,"Due in 14 days","OK")))</f>
      </c>
      <c r="G484" s="30"/>
      <c r="H484" s="38">
        <f>IF(A484="","",IF(COUNTIFS(Transactions!$E$2:$E$1001,A484,Transactions!$A$2:$A$1001,"Overdue")&gt;0,"Overdue",IF(COUNTIFS(Transactions!$E$2:$E$1001,A484,Transactions!$A$2:$A$1001,"Open")&gt;0,"Out","In")))</f>
      </c>
      <c r="I484" s="36"/>
    </row>
    <row r="485">
      <c r="A485" s="31"/>
      <c r="B485" s="31"/>
      <c r="C485" s="37">
        <f>IF(B485="","",IFERROR(INDEX('Item master'!$B$2:$B$301,MATCH(B485,'Item master'!$A$2:$A$301,0))&amp;"",""))</f>
      </c>
      <c r="D485" s="31"/>
      <c r="E485" s="32"/>
      <c r="F485" s="38">
        <f>IF(OR(A485="",E485=""),"",IF(E485&lt;TODAY(),"Overdue",IF(E485&lt;=TODAY()+14,"Due in 14 days","OK")))</f>
      </c>
      <c r="G485" s="30"/>
      <c r="H485" s="38">
        <f>IF(A485="","",IF(COUNTIFS(Transactions!$E$2:$E$1001,A485,Transactions!$A$2:$A$1001,"Overdue")&gt;0,"Overdue",IF(COUNTIFS(Transactions!$E$2:$E$1001,A485,Transactions!$A$2:$A$1001,"Open")&gt;0,"Out","In")))</f>
      </c>
      <c r="I485" s="36"/>
    </row>
    <row r="486">
      <c r="A486" s="31"/>
      <c r="B486" s="31"/>
      <c r="C486" s="37">
        <f>IF(B486="","",IFERROR(INDEX('Item master'!$B$2:$B$301,MATCH(B486,'Item master'!$A$2:$A$301,0))&amp;"",""))</f>
      </c>
      <c r="D486" s="31"/>
      <c r="E486" s="32"/>
      <c r="F486" s="38">
        <f>IF(OR(A486="",E486=""),"",IF(E486&lt;TODAY(),"Overdue",IF(E486&lt;=TODAY()+14,"Due in 14 days","OK")))</f>
      </c>
      <c r="G486" s="30"/>
      <c r="H486" s="38">
        <f>IF(A486="","",IF(COUNTIFS(Transactions!$E$2:$E$1001,A486,Transactions!$A$2:$A$1001,"Overdue")&gt;0,"Overdue",IF(COUNTIFS(Transactions!$E$2:$E$1001,A486,Transactions!$A$2:$A$1001,"Open")&gt;0,"Out","In")))</f>
      </c>
      <c r="I486" s="36"/>
    </row>
    <row r="487">
      <c r="A487" s="31"/>
      <c r="B487" s="31"/>
      <c r="C487" s="37">
        <f>IF(B487="","",IFERROR(INDEX('Item master'!$B$2:$B$301,MATCH(B487,'Item master'!$A$2:$A$301,0))&amp;"",""))</f>
      </c>
      <c r="D487" s="31"/>
      <c r="E487" s="32"/>
      <c r="F487" s="38">
        <f>IF(OR(A487="",E487=""),"",IF(E487&lt;TODAY(),"Overdue",IF(E487&lt;=TODAY()+14,"Due in 14 days","OK")))</f>
      </c>
      <c r="G487" s="30"/>
      <c r="H487" s="38">
        <f>IF(A487="","",IF(COUNTIFS(Transactions!$E$2:$E$1001,A487,Transactions!$A$2:$A$1001,"Overdue")&gt;0,"Overdue",IF(COUNTIFS(Transactions!$E$2:$E$1001,A487,Transactions!$A$2:$A$1001,"Open")&gt;0,"Out","In")))</f>
      </c>
      <c r="I487" s="36"/>
    </row>
    <row r="488">
      <c r="A488" s="31"/>
      <c r="B488" s="31"/>
      <c r="C488" s="37">
        <f>IF(B488="","",IFERROR(INDEX('Item master'!$B$2:$B$301,MATCH(B488,'Item master'!$A$2:$A$301,0))&amp;"",""))</f>
      </c>
      <c r="D488" s="31"/>
      <c r="E488" s="32"/>
      <c r="F488" s="38">
        <f>IF(OR(A488="",E488=""),"",IF(E488&lt;TODAY(),"Overdue",IF(E488&lt;=TODAY()+14,"Due in 14 days","OK")))</f>
      </c>
      <c r="G488" s="30"/>
      <c r="H488" s="38">
        <f>IF(A488="","",IF(COUNTIFS(Transactions!$E$2:$E$1001,A488,Transactions!$A$2:$A$1001,"Overdue")&gt;0,"Overdue",IF(COUNTIFS(Transactions!$E$2:$E$1001,A488,Transactions!$A$2:$A$1001,"Open")&gt;0,"Out","In")))</f>
      </c>
      <c r="I488" s="36"/>
    </row>
    <row r="489">
      <c r="A489" s="31"/>
      <c r="B489" s="31"/>
      <c r="C489" s="37">
        <f>IF(B489="","",IFERROR(INDEX('Item master'!$B$2:$B$301,MATCH(B489,'Item master'!$A$2:$A$301,0))&amp;"",""))</f>
      </c>
      <c r="D489" s="31"/>
      <c r="E489" s="32"/>
      <c r="F489" s="38">
        <f>IF(OR(A489="",E489=""),"",IF(E489&lt;TODAY(),"Overdue",IF(E489&lt;=TODAY()+14,"Due in 14 days","OK")))</f>
      </c>
      <c r="G489" s="30"/>
      <c r="H489" s="38">
        <f>IF(A489="","",IF(COUNTIFS(Transactions!$E$2:$E$1001,A489,Transactions!$A$2:$A$1001,"Overdue")&gt;0,"Overdue",IF(COUNTIFS(Transactions!$E$2:$E$1001,A489,Transactions!$A$2:$A$1001,"Open")&gt;0,"Out","In")))</f>
      </c>
      <c r="I489" s="36"/>
    </row>
    <row r="490">
      <c r="A490" s="31"/>
      <c r="B490" s="31"/>
      <c r="C490" s="37">
        <f>IF(B490="","",IFERROR(INDEX('Item master'!$B$2:$B$301,MATCH(B490,'Item master'!$A$2:$A$301,0))&amp;"",""))</f>
      </c>
      <c r="D490" s="31"/>
      <c r="E490" s="32"/>
      <c r="F490" s="38">
        <f>IF(OR(A490="",E490=""),"",IF(E490&lt;TODAY(),"Overdue",IF(E490&lt;=TODAY()+14,"Due in 14 days","OK")))</f>
      </c>
      <c r="G490" s="30"/>
      <c r="H490" s="38">
        <f>IF(A490="","",IF(COUNTIFS(Transactions!$E$2:$E$1001,A490,Transactions!$A$2:$A$1001,"Overdue")&gt;0,"Overdue",IF(COUNTIFS(Transactions!$E$2:$E$1001,A490,Transactions!$A$2:$A$1001,"Open")&gt;0,"Out","In")))</f>
      </c>
      <c r="I490" s="36"/>
    </row>
    <row r="491">
      <c r="A491" s="31"/>
      <c r="B491" s="31"/>
      <c r="C491" s="37">
        <f>IF(B491="","",IFERROR(INDEX('Item master'!$B$2:$B$301,MATCH(B491,'Item master'!$A$2:$A$301,0))&amp;"",""))</f>
      </c>
      <c r="D491" s="31"/>
      <c r="E491" s="32"/>
      <c r="F491" s="38">
        <f>IF(OR(A491="",E491=""),"",IF(E491&lt;TODAY(),"Overdue",IF(E491&lt;=TODAY()+14,"Due in 14 days","OK")))</f>
      </c>
      <c r="G491" s="30"/>
      <c r="H491" s="38">
        <f>IF(A491="","",IF(COUNTIFS(Transactions!$E$2:$E$1001,A491,Transactions!$A$2:$A$1001,"Overdue")&gt;0,"Overdue",IF(COUNTIFS(Transactions!$E$2:$E$1001,A491,Transactions!$A$2:$A$1001,"Open")&gt;0,"Out","In")))</f>
      </c>
      <c r="I491" s="36"/>
    </row>
    <row r="492">
      <c r="A492" s="31"/>
      <c r="B492" s="31"/>
      <c r="C492" s="37">
        <f>IF(B492="","",IFERROR(INDEX('Item master'!$B$2:$B$301,MATCH(B492,'Item master'!$A$2:$A$301,0))&amp;"",""))</f>
      </c>
      <c r="D492" s="31"/>
      <c r="E492" s="32"/>
      <c r="F492" s="38">
        <f>IF(OR(A492="",E492=""),"",IF(E492&lt;TODAY(),"Overdue",IF(E492&lt;=TODAY()+14,"Due in 14 days","OK")))</f>
      </c>
      <c r="G492" s="30"/>
      <c r="H492" s="38">
        <f>IF(A492="","",IF(COUNTIFS(Transactions!$E$2:$E$1001,A492,Transactions!$A$2:$A$1001,"Overdue")&gt;0,"Overdue",IF(COUNTIFS(Transactions!$E$2:$E$1001,A492,Transactions!$A$2:$A$1001,"Open")&gt;0,"Out","In")))</f>
      </c>
      <c r="I492" s="36"/>
    </row>
    <row r="493">
      <c r="A493" s="31"/>
      <c r="B493" s="31"/>
      <c r="C493" s="37">
        <f>IF(B493="","",IFERROR(INDEX('Item master'!$B$2:$B$301,MATCH(B493,'Item master'!$A$2:$A$301,0))&amp;"",""))</f>
      </c>
      <c r="D493" s="31"/>
      <c r="E493" s="32"/>
      <c r="F493" s="38">
        <f>IF(OR(A493="",E493=""),"",IF(E493&lt;TODAY(),"Overdue",IF(E493&lt;=TODAY()+14,"Due in 14 days","OK")))</f>
      </c>
      <c r="G493" s="30"/>
      <c r="H493" s="38">
        <f>IF(A493="","",IF(COUNTIFS(Transactions!$E$2:$E$1001,A493,Transactions!$A$2:$A$1001,"Overdue")&gt;0,"Overdue",IF(COUNTIFS(Transactions!$E$2:$E$1001,A493,Transactions!$A$2:$A$1001,"Open")&gt;0,"Out","In")))</f>
      </c>
      <c r="I493" s="36"/>
    </row>
    <row r="494">
      <c r="A494" s="31"/>
      <c r="B494" s="31"/>
      <c r="C494" s="37">
        <f>IF(B494="","",IFERROR(INDEX('Item master'!$B$2:$B$301,MATCH(B494,'Item master'!$A$2:$A$301,0))&amp;"",""))</f>
      </c>
      <c r="D494" s="31"/>
      <c r="E494" s="32"/>
      <c r="F494" s="38">
        <f>IF(OR(A494="",E494=""),"",IF(E494&lt;TODAY(),"Overdue",IF(E494&lt;=TODAY()+14,"Due in 14 days","OK")))</f>
      </c>
      <c r="G494" s="30"/>
      <c r="H494" s="38">
        <f>IF(A494="","",IF(COUNTIFS(Transactions!$E$2:$E$1001,A494,Transactions!$A$2:$A$1001,"Overdue")&gt;0,"Overdue",IF(COUNTIFS(Transactions!$E$2:$E$1001,A494,Transactions!$A$2:$A$1001,"Open")&gt;0,"Out","In")))</f>
      </c>
      <c r="I494" s="36"/>
    </row>
    <row r="495">
      <c r="A495" s="31"/>
      <c r="B495" s="31"/>
      <c r="C495" s="37">
        <f>IF(B495="","",IFERROR(INDEX('Item master'!$B$2:$B$301,MATCH(B495,'Item master'!$A$2:$A$301,0))&amp;"",""))</f>
      </c>
      <c r="D495" s="31"/>
      <c r="E495" s="32"/>
      <c r="F495" s="38">
        <f>IF(OR(A495="",E495=""),"",IF(E495&lt;TODAY(),"Overdue",IF(E495&lt;=TODAY()+14,"Due in 14 days","OK")))</f>
      </c>
      <c r="G495" s="30"/>
      <c r="H495" s="38">
        <f>IF(A495="","",IF(COUNTIFS(Transactions!$E$2:$E$1001,A495,Transactions!$A$2:$A$1001,"Overdue")&gt;0,"Overdue",IF(COUNTIFS(Transactions!$E$2:$E$1001,A495,Transactions!$A$2:$A$1001,"Open")&gt;0,"Out","In")))</f>
      </c>
      <c r="I495" s="36"/>
    </row>
    <row r="496">
      <c r="A496" s="31"/>
      <c r="B496" s="31"/>
      <c r="C496" s="37">
        <f>IF(B496="","",IFERROR(INDEX('Item master'!$B$2:$B$301,MATCH(B496,'Item master'!$A$2:$A$301,0))&amp;"",""))</f>
      </c>
      <c r="D496" s="31"/>
      <c r="E496" s="32"/>
      <c r="F496" s="38">
        <f>IF(OR(A496="",E496=""),"",IF(E496&lt;TODAY(),"Overdue",IF(E496&lt;=TODAY()+14,"Due in 14 days","OK")))</f>
      </c>
      <c r="G496" s="30"/>
      <c r="H496" s="38">
        <f>IF(A496="","",IF(COUNTIFS(Transactions!$E$2:$E$1001,A496,Transactions!$A$2:$A$1001,"Overdue")&gt;0,"Overdue",IF(COUNTIFS(Transactions!$E$2:$E$1001,A496,Transactions!$A$2:$A$1001,"Open")&gt;0,"Out","In")))</f>
      </c>
      <c r="I496" s="36"/>
    </row>
    <row r="497">
      <c r="A497" s="31"/>
      <c r="B497" s="31"/>
      <c r="C497" s="37">
        <f>IF(B497="","",IFERROR(INDEX('Item master'!$B$2:$B$301,MATCH(B497,'Item master'!$A$2:$A$301,0))&amp;"",""))</f>
      </c>
      <c r="D497" s="31"/>
      <c r="E497" s="32"/>
      <c r="F497" s="38">
        <f>IF(OR(A497="",E497=""),"",IF(E497&lt;TODAY(),"Overdue",IF(E497&lt;=TODAY()+14,"Due in 14 days","OK")))</f>
      </c>
      <c r="G497" s="30"/>
      <c r="H497" s="38">
        <f>IF(A497="","",IF(COUNTIFS(Transactions!$E$2:$E$1001,A497,Transactions!$A$2:$A$1001,"Overdue")&gt;0,"Overdue",IF(COUNTIFS(Transactions!$E$2:$E$1001,A497,Transactions!$A$2:$A$1001,"Open")&gt;0,"Out","In")))</f>
      </c>
      <c r="I497" s="36"/>
    </row>
    <row r="498">
      <c r="A498" s="31"/>
      <c r="B498" s="31"/>
      <c r="C498" s="37">
        <f>IF(B498="","",IFERROR(INDEX('Item master'!$B$2:$B$301,MATCH(B498,'Item master'!$A$2:$A$301,0))&amp;"",""))</f>
      </c>
      <c r="D498" s="31"/>
      <c r="E498" s="32"/>
      <c r="F498" s="38">
        <f>IF(OR(A498="",E498=""),"",IF(E498&lt;TODAY(),"Overdue",IF(E498&lt;=TODAY()+14,"Due in 14 days","OK")))</f>
      </c>
      <c r="G498" s="30"/>
      <c r="H498" s="38">
        <f>IF(A498="","",IF(COUNTIFS(Transactions!$E$2:$E$1001,A498,Transactions!$A$2:$A$1001,"Overdue")&gt;0,"Overdue",IF(COUNTIFS(Transactions!$E$2:$E$1001,A498,Transactions!$A$2:$A$1001,"Open")&gt;0,"Out","In")))</f>
      </c>
      <c r="I498" s="36"/>
    </row>
    <row r="499">
      <c r="A499" s="31"/>
      <c r="B499" s="31"/>
      <c r="C499" s="37">
        <f>IF(B499="","",IFERROR(INDEX('Item master'!$B$2:$B$301,MATCH(B499,'Item master'!$A$2:$A$301,0))&amp;"",""))</f>
      </c>
      <c r="D499" s="31"/>
      <c r="E499" s="32"/>
      <c r="F499" s="38">
        <f>IF(OR(A499="",E499=""),"",IF(E499&lt;TODAY(),"Overdue",IF(E499&lt;=TODAY()+14,"Due in 14 days","OK")))</f>
      </c>
      <c r="G499" s="30"/>
      <c r="H499" s="38">
        <f>IF(A499="","",IF(COUNTIFS(Transactions!$E$2:$E$1001,A499,Transactions!$A$2:$A$1001,"Overdue")&gt;0,"Overdue",IF(COUNTIFS(Transactions!$E$2:$E$1001,A499,Transactions!$A$2:$A$1001,"Open")&gt;0,"Out","In")))</f>
      </c>
      <c r="I499" s="36"/>
    </row>
    <row r="500">
      <c r="A500" s="31"/>
      <c r="B500" s="31"/>
      <c r="C500" s="37">
        <f>IF(B500="","",IFERROR(INDEX('Item master'!$B$2:$B$301,MATCH(B500,'Item master'!$A$2:$A$301,0))&amp;"",""))</f>
      </c>
      <c r="D500" s="31"/>
      <c r="E500" s="32"/>
      <c r="F500" s="38">
        <f>IF(OR(A500="",E500=""),"",IF(E500&lt;TODAY(),"Overdue",IF(E500&lt;=TODAY()+14,"Due in 14 days","OK")))</f>
      </c>
      <c r="G500" s="30"/>
      <c r="H500" s="38">
        <f>IF(A500="","",IF(COUNTIFS(Transactions!$E$2:$E$1001,A500,Transactions!$A$2:$A$1001,"Overdue")&gt;0,"Overdue",IF(COUNTIFS(Transactions!$E$2:$E$1001,A500,Transactions!$A$2:$A$1001,"Open")&gt;0,"Out","In")))</f>
      </c>
      <c r="I500" s="36"/>
    </row>
    <row r="501">
      <c r="A501" s="31"/>
      <c r="B501" s="31"/>
      <c r="C501" s="37">
        <f>IF(B501="","",IFERROR(INDEX('Item master'!$B$2:$B$301,MATCH(B501,'Item master'!$A$2:$A$301,0))&amp;"",""))</f>
      </c>
      <c r="D501" s="31"/>
      <c r="E501" s="32"/>
      <c r="F501" s="38">
        <f>IF(OR(A501="",E501=""),"",IF(E501&lt;TODAY(),"Overdue",IF(E501&lt;=TODAY()+14,"Due in 14 days","OK")))</f>
      </c>
      <c r="G501" s="30"/>
      <c r="H501" s="38">
        <f>IF(A501="","",IF(COUNTIFS(Transactions!$E$2:$E$1001,A501,Transactions!$A$2:$A$1001,"Overdue")&gt;0,"Overdue",IF(COUNTIFS(Transactions!$E$2:$E$1001,A501,Transactions!$A$2:$A$1001,"Open")&gt;0,"Out","In")))</f>
      </c>
      <c r="I501" s="36"/>
    </row>
  </sheetData>
  <autoFilter ref="A1:I501"/>
  <conditionalFormatting sqref="F2:F501">
    <cfRule type="expression" dxfId="0" priority="1" stopIfTrue="1">
      <formula>$F2="Overdue"</formula>
    </cfRule>
    <cfRule type="expression" dxfId="1" priority="2" stopIfTrue="1">
      <formula>$F2="Due in 14 days"</formula>
    </cfRule>
    <cfRule type="expression" dxfId="2" priority="3" stopIfTrue="1">
      <formula>$F2="OK"</formula>
    </cfRule>
  </conditionalFormatting>
  <conditionalFormatting sqref="H2:H501">
    <cfRule type="expression" dxfId="0" priority="4" stopIfTrue="1">
      <formula>$H2="Overdue"</formula>
    </cfRule>
    <cfRule type="expression" dxfId="3" priority="5" stopIfTrue="1">
      <formula>$H2="Out"</formula>
    </cfRule>
    <cfRule type="expression" dxfId="2" priority="6" stopIfTrue="1">
      <formula>$H2="In"</formula>
    </cfRule>
  </conditionalFormatting>
  <dataValidations count="3">
    <dataValidation type="custom" allowBlank="1" showInputMessage="1" showErrorMessage="1" promptTitle="Asset ID" prompt="The unit's permanent ID, e.g. TW-0412. Name its location tag with this same ID." errorTitle="Asset ID already used" error="Each unit needs its own asset ID. This one is already on the sheet." sqref="A2:A501">
      <formula1>COUNTIF($A$2:$A$501,A2)=1</formula1>
    </dataValidation>
    <dataValidation type="list" errorStyle="warning" allowBlank="1" showInputMessage="1" showErrorMessage="1" promptTitle="Item no" prompt="The tool type, from the Item master." errorTitle="Not on the Item master" error="Add this item number to the Item master first." sqref="B2:B501">
      <formula1>'Item master'!$A$2:$A$301</formula1>
    </dataValidation>
    <dataValidation type="date" errorStyle="warning" operator="greaterThanOrEqual" allowBlank="1" showInputMessage="1" showErrorMessage="1" promptTitle="Cal due" prompt="Calibration due date for gauges and calibrated tools, e.g. 2026-12-01. Blank if it is never calibrated." errorTitle="Not a date" error="Type a date such as 2026-12-01." sqref="E2:E501">
      <formula1>43831</formula1>
    </dataValidation>
  </dataValidations>
  <pageMargins left="0.7" right="0.7" top="0.75" bottom="0.75" header="0.3" footer="0.3"/>
  <pageSetup orientation="landscape" fitToWidth="1" fitToHeight="0"/>
  <headerFooter>
    <oddFooter>&amp;L&amp;8TagLogger tool crib units&amp;R&amp;8Page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TagLogger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TagLogger tool crib checkout log</dc:title>
  <dc:creator>TagLogger</dc:creator>
  <cp:lastModifiedBy>TagLogger</cp:lastModifiedBy>
  <dcterms:created xsi:type="dcterms:W3CDTF">2026-10-08T00:00:00Z</dcterms:created>
  <dcterms:modified xsi:type="dcterms:W3CDTF">2026-10-08T00:00:00Z</dcterms:modified>
</cp:coreProperties>
</file>